
<file path=[Content_Types].xml><?xml version="1.0" encoding="utf-8"?>
<Types xmlns="http://schemas.openxmlformats.org/package/2006/content-types">
  <Default Extension="png" ContentType="image/png"/>
  <Default Extension="jpeg" ContentType="image/jpeg"/>
  <Default Extension="JPG" ContentType="image/.jpg"/>
  <Default Extension="wmf" ContentType="image/x-wmf"/>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tabRatio="961"/>
  </bookViews>
  <sheets>
    <sheet name="文化建设" sheetId="68" r:id="rId1"/>
    <sheet name="清单 (3)" sheetId="64" state="hidden" r:id="rId2"/>
  </sheets>
  <definedNames>
    <definedName name="_xlnm._FilterDatabase" localSheetId="0" hidden="1">文化建设!$A$1:$M$35</definedName>
    <definedName name="_xlnm._FilterDatabase" localSheetId="1" hidden="1">'清单 (3)'!$A$1:$L$281</definedName>
    <definedName name="_xlnm.Print_Area" localSheetId="1">'清单 (3)'!$A$1:$J$281</definedName>
    <definedName name="_xlnm.Print_Area" localSheetId="0">文化建设!$A$1:$J$35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99" name="ID_5926141C312D4A17A8F9E60F879C904E" descr="b035ee81822a725577980d53688d686"/>
        <xdr:cNvPicPr>
          <a:picLocks noChangeAspect="1"/>
        </xdr:cNvPicPr>
      </xdr:nvPicPr>
      <xdr:blipFill>
        <a:blip r:embed="rId1"/>
        <a:stretch>
          <a:fillRect/>
        </a:stretch>
      </xdr:blipFill>
      <xdr:spPr>
        <a:xfrm>
          <a:off x="20737195" y="7644130"/>
          <a:ext cx="2035175" cy="1968500"/>
        </a:xfrm>
        <a:prstGeom prst="rect">
          <a:avLst/>
        </a:prstGeom>
      </xdr:spPr>
    </xdr:pic>
  </etc:cellImage>
  <etc:cellImage>
    <xdr:pic>
      <xdr:nvPicPr>
        <xdr:cNvPr id="200" name="ID_F570F077325E4A25A3A33DBEEAB9373D"/>
        <xdr:cNvPicPr>
          <a:picLocks noChangeAspect="1"/>
        </xdr:cNvPicPr>
      </xdr:nvPicPr>
      <xdr:blipFill>
        <a:blip r:embed="rId2"/>
        <a:stretch>
          <a:fillRect/>
        </a:stretch>
      </xdr:blipFill>
      <xdr:spPr>
        <a:xfrm>
          <a:off x="20724495" y="8027035"/>
          <a:ext cx="2617470" cy="995045"/>
        </a:xfrm>
        <a:prstGeom prst="rect">
          <a:avLst/>
        </a:prstGeom>
        <a:noFill/>
        <a:ln w="9525">
          <a:noFill/>
        </a:ln>
      </xdr:spPr>
    </xdr:pic>
  </etc:cellImage>
  <etc:cellImage>
    <xdr:pic>
      <xdr:nvPicPr>
        <xdr:cNvPr id="201" name="ID_FD8E2A6F87AC411C90B102EF42545BF6" descr="945926b1927ade460cf6aaa9fe876e6"/>
        <xdr:cNvPicPr>
          <a:picLocks noChangeAspect="1"/>
        </xdr:cNvPicPr>
      </xdr:nvPicPr>
      <xdr:blipFill>
        <a:blip r:embed="rId3"/>
        <a:stretch>
          <a:fillRect/>
        </a:stretch>
      </xdr:blipFill>
      <xdr:spPr>
        <a:xfrm>
          <a:off x="20714970" y="8371840"/>
          <a:ext cx="1713230" cy="1243965"/>
        </a:xfrm>
        <a:prstGeom prst="rect">
          <a:avLst/>
        </a:prstGeom>
      </xdr:spPr>
    </xdr:pic>
  </etc:cellImage>
  <etc:cellImage>
    <xdr:pic>
      <xdr:nvPicPr>
        <xdr:cNvPr id="203" name="ID_36EA358960B94A64A85366E30E81F380" descr="cf5d67c2d9aa435e9c06b75be407d93"/>
        <xdr:cNvPicPr>
          <a:picLocks noChangeAspect="1"/>
        </xdr:cNvPicPr>
      </xdr:nvPicPr>
      <xdr:blipFill>
        <a:blip r:embed="rId4"/>
        <a:stretch>
          <a:fillRect/>
        </a:stretch>
      </xdr:blipFill>
      <xdr:spPr>
        <a:xfrm>
          <a:off x="20709890" y="8792210"/>
          <a:ext cx="2159000" cy="1409700"/>
        </a:xfrm>
        <a:prstGeom prst="rect">
          <a:avLst/>
        </a:prstGeom>
      </xdr:spPr>
    </xdr:pic>
  </etc:cellImage>
  <etc:cellImage>
    <xdr:pic>
      <xdr:nvPicPr>
        <xdr:cNvPr id="204" name="ID_207A19DF628F4A63A6AE172D8DECB130" descr="49bf6ae42cc4c919e63ac1b0015250b"/>
        <xdr:cNvPicPr>
          <a:picLocks noChangeAspect="1"/>
        </xdr:cNvPicPr>
      </xdr:nvPicPr>
      <xdr:blipFill>
        <a:blip r:embed="rId5"/>
        <a:stretch>
          <a:fillRect/>
        </a:stretch>
      </xdr:blipFill>
      <xdr:spPr>
        <a:xfrm flipH="1">
          <a:off x="20705445" y="9465945"/>
          <a:ext cx="2207895" cy="1190625"/>
        </a:xfrm>
        <a:prstGeom prst="rect">
          <a:avLst/>
        </a:prstGeom>
      </xdr:spPr>
    </xdr:pic>
  </etc:cellImage>
  <etc:cellImage>
    <xdr:pic>
      <xdr:nvPicPr>
        <xdr:cNvPr id="205" name="ID_8F80D28AD1144CD1B6EE0A2FF344E612" descr="e7edd244f60c335e457d59904e4e238"/>
        <xdr:cNvPicPr>
          <a:picLocks noChangeAspect="1"/>
        </xdr:cNvPicPr>
      </xdr:nvPicPr>
      <xdr:blipFill>
        <a:blip r:embed="rId6"/>
        <a:stretch>
          <a:fillRect/>
        </a:stretch>
      </xdr:blipFill>
      <xdr:spPr>
        <a:xfrm>
          <a:off x="20720685" y="10150475"/>
          <a:ext cx="2667000" cy="1922145"/>
        </a:xfrm>
        <a:prstGeom prst="rect">
          <a:avLst/>
        </a:prstGeom>
      </xdr:spPr>
    </xdr:pic>
  </etc:cellImage>
  <etc:cellImage>
    <xdr:pic>
      <xdr:nvPicPr>
        <xdr:cNvPr id="242" name="ID_790B13DAC6994276BD960B53030358E0"/>
        <xdr:cNvPicPr>
          <a:picLocks noChangeAspect="1"/>
        </xdr:cNvPicPr>
      </xdr:nvPicPr>
      <xdr:blipFill>
        <a:blip r:embed="rId7"/>
        <a:stretch>
          <a:fillRect/>
        </a:stretch>
      </xdr:blipFill>
      <xdr:spPr>
        <a:xfrm>
          <a:off x="11907520" y="907415"/>
          <a:ext cx="1879600" cy="2602865"/>
        </a:xfrm>
        <a:prstGeom prst="rect">
          <a:avLst/>
        </a:prstGeom>
        <a:noFill/>
        <a:ln w="9525">
          <a:noFill/>
        </a:ln>
      </xdr:spPr>
    </xdr:pic>
  </etc:cellImage>
  <etc:cellImage>
    <xdr:pic>
      <xdr:nvPicPr>
        <xdr:cNvPr id="243" name="ID_2EBC96A27EC84FFA986865958217DEBA"/>
        <xdr:cNvPicPr>
          <a:picLocks noChangeAspect="1"/>
        </xdr:cNvPicPr>
      </xdr:nvPicPr>
      <xdr:blipFill>
        <a:blip r:embed="rId8"/>
        <a:stretch>
          <a:fillRect/>
        </a:stretch>
      </xdr:blipFill>
      <xdr:spPr>
        <a:xfrm>
          <a:off x="12505690" y="2886710"/>
          <a:ext cx="1655445" cy="2201545"/>
        </a:xfrm>
        <a:prstGeom prst="rect">
          <a:avLst/>
        </a:prstGeom>
        <a:noFill/>
        <a:ln w="9525">
          <a:noFill/>
        </a:ln>
      </xdr:spPr>
    </xdr:pic>
  </etc:cellImage>
  <etc:cellImage>
    <xdr:pic>
      <xdr:nvPicPr>
        <xdr:cNvPr id="2" name="ID_B9A4B0EF51F9439B987B96D47B532681"/>
        <xdr:cNvPicPr>
          <a:picLocks noChangeAspect="1"/>
        </xdr:cNvPicPr>
      </xdr:nvPicPr>
      <xdr:blipFill>
        <a:blip r:embed="rId9"/>
        <a:stretch>
          <a:fillRect/>
        </a:stretch>
      </xdr:blipFill>
      <xdr:spPr>
        <a:xfrm>
          <a:off x="11067415" y="5640070"/>
          <a:ext cx="1162685" cy="2127250"/>
        </a:xfrm>
        <a:prstGeom prst="rect">
          <a:avLst/>
        </a:prstGeom>
        <a:noFill/>
        <a:ln w="9525">
          <a:noFill/>
        </a:ln>
      </xdr:spPr>
    </xdr:pic>
  </etc:cellImage>
  <etc:cellImage>
    <xdr:pic>
      <xdr:nvPicPr>
        <xdr:cNvPr id="4" name="ID_40862D7C48384E7DBE5AED7CBEF46DB5"/>
        <xdr:cNvPicPr>
          <a:picLocks noChangeAspect="1"/>
        </xdr:cNvPicPr>
      </xdr:nvPicPr>
      <xdr:blipFill>
        <a:blip r:embed="rId10"/>
        <a:stretch>
          <a:fillRect/>
        </a:stretch>
      </xdr:blipFill>
      <xdr:spPr>
        <a:xfrm>
          <a:off x="2956560" y="75026520"/>
          <a:ext cx="823595" cy="995680"/>
        </a:xfrm>
        <a:prstGeom prst="rect">
          <a:avLst/>
        </a:prstGeom>
        <a:noFill/>
        <a:ln w="9525">
          <a:noFill/>
        </a:ln>
      </xdr:spPr>
    </xdr:pic>
  </etc:cellImage>
  <etc:cellImage>
    <xdr:pic>
      <xdr:nvPicPr>
        <xdr:cNvPr id="11" name="ID_FF07688E6D3E4AB1A659F0E8E403728B"/>
        <xdr:cNvPicPr>
          <a:picLocks noChangeAspect="1"/>
        </xdr:cNvPicPr>
      </xdr:nvPicPr>
      <xdr:blipFill>
        <a:blip r:embed="rId11"/>
        <a:stretch>
          <a:fillRect/>
        </a:stretch>
      </xdr:blipFill>
      <xdr:spPr>
        <a:xfrm>
          <a:off x="2947670" y="24195405"/>
          <a:ext cx="999490" cy="1468755"/>
        </a:xfrm>
        <a:prstGeom prst="rect">
          <a:avLst/>
        </a:prstGeom>
        <a:noFill/>
        <a:ln w="9525">
          <a:noFill/>
        </a:ln>
      </xdr:spPr>
    </xdr:pic>
  </etc:cellImage>
  <etc:cellImage>
    <xdr:pic>
      <xdr:nvPicPr>
        <xdr:cNvPr id="8" name="ID_58CBF819535440E584096445797F858E"/>
        <xdr:cNvPicPr>
          <a:picLocks noChangeAspect="1"/>
        </xdr:cNvPicPr>
      </xdr:nvPicPr>
      <xdr:blipFill>
        <a:blip r:embed="rId12"/>
        <a:stretch>
          <a:fillRect/>
        </a:stretch>
      </xdr:blipFill>
      <xdr:spPr>
        <a:xfrm>
          <a:off x="3075940" y="27267535"/>
          <a:ext cx="925195" cy="1449070"/>
        </a:xfrm>
        <a:prstGeom prst="rect">
          <a:avLst/>
        </a:prstGeom>
        <a:noFill/>
        <a:ln w="9525">
          <a:noFill/>
        </a:ln>
      </xdr:spPr>
    </xdr:pic>
  </etc:cellImage>
  <etc:cellImage>
    <xdr:pic>
      <xdr:nvPicPr>
        <xdr:cNvPr id="3" name="ID_502F31AFA9994B979F732A08CB9269BD"/>
        <xdr:cNvPicPr>
          <a:picLocks noChangeAspect="1"/>
        </xdr:cNvPicPr>
      </xdr:nvPicPr>
      <xdr:blipFill>
        <a:blip r:embed="rId13"/>
        <a:stretch>
          <a:fillRect/>
        </a:stretch>
      </xdr:blipFill>
      <xdr:spPr>
        <a:xfrm>
          <a:off x="2866390" y="78029435"/>
          <a:ext cx="1212850" cy="991235"/>
        </a:xfrm>
        <a:prstGeom prst="rect">
          <a:avLst/>
        </a:prstGeom>
        <a:noFill/>
        <a:ln w="9525">
          <a:noFill/>
        </a:ln>
      </xdr:spPr>
    </xdr:pic>
  </etc:cellImage>
  <etc:cellImage>
    <xdr:pic>
      <xdr:nvPicPr>
        <xdr:cNvPr id="7" name="ID_9E27CAFFF04447609C3396EE44E6BB39"/>
        <xdr:cNvPicPr>
          <a:picLocks noChangeAspect="1"/>
        </xdr:cNvPicPr>
      </xdr:nvPicPr>
      <xdr:blipFill>
        <a:blip r:embed="rId14"/>
        <a:stretch>
          <a:fillRect/>
        </a:stretch>
      </xdr:blipFill>
      <xdr:spPr>
        <a:xfrm>
          <a:off x="3139440" y="28808045"/>
          <a:ext cx="761365" cy="1405255"/>
        </a:xfrm>
        <a:prstGeom prst="rect">
          <a:avLst/>
        </a:prstGeom>
        <a:noFill/>
        <a:ln w="9525">
          <a:noFill/>
        </a:ln>
      </xdr:spPr>
    </xdr:pic>
  </etc:cellImage>
  <etc:cellImage>
    <xdr:pic>
      <xdr:nvPicPr>
        <xdr:cNvPr id="5" name="ID_CD3511D5F0BC4B90AF005004F6119DB7"/>
        <xdr:cNvPicPr>
          <a:picLocks noChangeAspect="1"/>
        </xdr:cNvPicPr>
      </xdr:nvPicPr>
      <xdr:blipFill>
        <a:blip r:embed="rId15"/>
        <a:stretch>
          <a:fillRect/>
        </a:stretch>
      </xdr:blipFill>
      <xdr:spPr>
        <a:xfrm>
          <a:off x="2966720" y="77002005"/>
          <a:ext cx="1010920" cy="1038225"/>
        </a:xfrm>
        <a:prstGeom prst="rect">
          <a:avLst/>
        </a:prstGeom>
        <a:noFill/>
        <a:ln w="9525">
          <a:noFill/>
        </a:ln>
      </xdr:spPr>
    </xdr:pic>
  </etc:cellImage>
  <etc:cellImage>
    <xdr:pic>
      <xdr:nvPicPr>
        <xdr:cNvPr id="6" name="ID_158AB92A1CE24123A37B2CC091D3AD46"/>
        <xdr:cNvPicPr>
          <a:picLocks noChangeAspect="1"/>
        </xdr:cNvPicPr>
      </xdr:nvPicPr>
      <xdr:blipFill>
        <a:blip r:embed="rId16"/>
        <a:stretch>
          <a:fillRect/>
        </a:stretch>
      </xdr:blipFill>
      <xdr:spPr>
        <a:xfrm>
          <a:off x="2830830" y="76184125"/>
          <a:ext cx="1409065" cy="696595"/>
        </a:xfrm>
        <a:prstGeom prst="rect">
          <a:avLst/>
        </a:prstGeom>
        <a:noFill/>
        <a:ln w="9525">
          <a:noFill/>
        </a:ln>
      </xdr:spPr>
    </xdr:pic>
  </etc:cellImage>
  <etc:cellImage>
    <xdr:pic>
      <xdr:nvPicPr>
        <xdr:cNvPr id="56" name="ID_6413E65AA6DA4B04BEC440037EC15F2C"/>
        <xdr:cNvPicPr>
          <a:picLocks noChangeAspect="1"/>
        </xdr:cNvPicPr>
      </xdr:nvPicPr>
      <xdr:blipFill>
        <a:blip r:embed="rId17"/>
        <a:stretch>
          <a:fillRect/>
        </a:stretch>
      </xdr:blipFill>
      <xdr:spPr>
        <a:xfrm>
          <a:off x="1468755" y="131838700"/>
          <a:ext cx="725170" cy="427990"/>
        </a:xfrm>
        <a:prstGeom prst="rect">
          <a:avLst/>
        </a:prstGeom>
        <a:noFill/>
        <a:ln w="9525">
          <a:noFill/>
        </a:ln>
      </xdr:spPr>
    </xdr:pic>
  </etc:cellImage>
  <etc:cellImage>
    <xdr:pic>
      <xdr:nvPicPr>
        <xdr:cNvPr id="57" name="ID_41D65F7B721446E98CC1E835F92ED866" descr="13823x092729"/>
        <xdr:cNvPicPr>
          <a:picLocks noChangeAspect="1"/>
        </xdr:cNvPicPr>
      </xdr:nvPicPr>
      <xdr:blipFill>
        <a:blip r:embed="rId18"/>
        <a:srcRect t="19354"/>
        <a:stretch>
          <a:fillRect/>
        </a:stretch>
      </xdr:blipFill>
      <xdr:spPr>
        <a:xfrm>
          <a:off x="1899285" y="127080645"/>
          <a:ext cx="620395" cy="466090"/>
        </a:xfrm>
        <a:prstGeom prst="rect">
          <a:avLst/>
        </a:prstGeom>
        <a:noFill/>
        <a:ln w="9525">
          <a:noFill/>
        </a:ln>
      </xdr:spPr>
    </xdr:pic>
  </etc:cellImage>
  <etc:cellImage>
    <xdr:pic>
      <xdr:nvPicPr>
        <xdr:cNvPr id="58" name="ID_2D00644662FE4E3191BD67FFDDAD4A8D" descr="15LQE(@~]{J4RD4W$R`A3_O"/>
        <xdr:cNvPicPr>
          <a:picLocks noChangeAspect="1"/>
        </xdr:cNvPicPr>
      </xdr:nvPicPr>
      <xdr:blipFill>
        <a:blip r:embed="rId19"/>
        <a:stretch>
          <a:fillRect/>
        </a:stretch>
      </xdr:blipFill>
      <xdr:spPr>
        <a:xfrm>
          <a:off x="1759585" y="128024890"/>
          <a:ext cx="690245" cy="533400"/>
        </a:xfrm>
        <a:prstGeom prst="rect">
          <a:avLst/>
        </a:prstGeom>
        <a:noFill/>
        <a:ln w="9525">
          <a:noFill/>
        </a:ln>
      </xdr:spPr>
    </xdr:pic>
  </etc:cellImage>
  <etc:cellImage>
    <xdr:pic>
      <xdr:nvPicPr>
        <xdr:cNvPr id="59" name="ID_95A28264DACD4904B66B614D3C71997E"/>
        <xdr:cNvPicPr>
          <a:picLocks noChangeAspect="1"/>
        </xdr:cNvPicPr>
      </xdr:nvPicPr>
      <xdr:blipFill>
        <a:blip r:embed="rId17"/>
        <a:stretch>
          <a:fillRect/>
        </a:stretch>
      </xdr:blipFill>
      <xdr:spPr>
        <a:xfrm>
          <a:off x="1809115" y="129122170"/>
          <a:ext cx="725170" cy="427990"/>
        </a:xfrm>
        <a:prstGeom prst="rect">
          <a:avLst/>
        </a:prstGeom>
        <a:noFill/>
        <a:ln w="9525">
          <a:noFill/>
        </a:ln>
      </xdr:spPr>
    </xdr:pic>
  </etc:cellImage>
  <etc:cellImage>
    <xdr:pic>
      <xdr:nvPicPr>
        <xdr:cNvPr id="60" name="ID_B92A1BB12F0B4971B0B4E3AB546D12F5" descr="]6QILKS1CIIUFUEA2JXQJ7Q"/>
        <xdr:cNvPicPr>
          <a:picLocks noChangeAspect="1"/>
        </xdr:cNvPicPr>
      </xdr:nvPicPr>
      <xdr:blipFill>
        <a:blip r:embed="rId20"/>
        <a:stretch>
          <a:fillRect/>
        </a:stretch>
      </xdr:blipFill>
      <xdr:spPr>
        <a:xfrm>
          <a:off x="1468755" y="130822700"/>
          <a:ext cx="541655" cy="668020"/>
        </a:xfrm>
        <a:prstGeom prst="rect">
          <a:avLst/>
        </a:prstGeom>
        <a:noFill/>
        <a:ln w="9525">
          <a:noFill/>
        </a:ln>
      </xdr:spPr>
    </xdr:pic>
  </etc:cellImage>
  <etc:cellImage>
    <xdr:pic>
      <xdr:nvPicPr>
        <xdr:cNvPr id="61" name="ID_8312B291C9CC4B23883221B23ED7DEC2" descr="]6QILKS1CIIUFUEA2JXQJ7Q"/>
        <xdr:cNvPicPr>
          <a:picLocks noChangeAspect="1"/>
        </xdr:cNvPicPr>
      </xdr:nvPicPr>
      <xdr:blipFill>
        <a:blip r:embed="rId20"/>
        <a:stretch>
          <a:fillRect/>
        </a:stretch>
      </xdr:blipFill>
      <xdr:spPr>
        <a:xfrm>
          <a:off x="1468755" y="133870700"/>
          <a:ext cx="541020" cy="665480"/>
        </a:xfrm>
        <a:prstGeom prst="rect">
          <a:avLst/>
        </a:prstGeom>
        <a:noFill/>
        <a:ln w="9525">
          <a:noFill/>
        </a:ln>
      </xdr:spPr>
    </xdr:pic>
  </etc:cellImage>
  <etc:cellImage>
    <xdr:pic>
      <xdr:nvPicPr>
        <xdr:cNvPr id="62" name="ID_78FC9B92CDDF40628C11AAA39D4EAACD" descr="C:\Users\Administrator\AppData\Roaming\Tencent\Users\742539809\QQ\WinTemp\RichOle\[9XKUXQ[08LFZXG@TZLVTV9.png"/>
        <xdr:cNvPicPr>
          <a:picLocks noChangeAspect="1"/>
        </xdr:cNvPicPr>
      </xdr:nvPicPr>
      <xdr:blipFill>
        <a:blip r:embed="rId21"/>
        <a:stretch>
          <a:fillRect/>
        </a:stretch>
      </xdr:blipFill>
      <xdr:spPr>
        <a:xfrm>
          <a:off x="1468755" y="134886700"/>
          <a:ext cx="662940" cy="524510"/>
        </a:xfrm>
        <a:prstGeom prst="rect">
          <a:avLst/>
        </a:prstGeom>
        <a:noFill/>
        <a:ln w="9525">
          <a:noFill/>
        </a:ln>
      </xdr:spPr>
    </xdr:pic>
  </etc:cellImage>
  <etc:cellImage>
    <xdr:pic>
      <xdr:nvPicPr>
        <xdr:cNvPr id="63" name="ID_EFB1124DA72549729A76EA3E85D36C5C" descr="P3~TNV6YQA@1Z~9]8N$VPVY"/>
        <xdr:cNvPicPr>
          <a:picLocks noChangeAspect="1"/>
        </xdr:cNvPicPr>
      </xdr:nvPicPr>
      <xdr:blipFill>
        <a:blip r:embed="rId22"/>
        <a:stretch>
          <a:fillRect/>
        </a:stretch>
      </xdr:blipFill>
      <xdr:spPr>
        <a:xfrm>
          <a:off x="1468755" y="135902700"/>
          <a:ext cx="768985" cy="646430"/>
        </a:xfrm>
        <a:prstGeom prst="rect">
          <a:avLst/>
        </a:prstGeom>
        <a:noFill/>
        <a:ln w="9525">
          <a:noFill/>
        </a:ln>
      </xdr:spPr>
    </xdr:pic>
  </etc:cellImage>
  <etc:cellImage>
    <xdr:pic>
      <xdr:nvPicPr>
        <xdr:cNvPr id="64" name="ID_F710F43E34E34B3A9CDEFCB57AF4E5C8" descr="ZFQ3XS3OJOH`W4Y_4}BGLU9"/>
        <xdr:cNvPicPr>
          <a:picLocks noChangeAspect="1"/>
        </xdr:cNvPicPr>
      </xdr:nvPicPr>
      <xdr:blipFill>
        <a:blip r:embed="rId23"/>
        <a:stretch>
          <a:fillRect/>
        </a:stretch>
      </xdr:blipFill>
      <xdr:spPr>
        <a:xfrm>
          <a:off x="1468755" y="136918700"/>
          <a:ext cx="785495" cy="713740"/>
        </a:xfrm>
        <a:prstGeom prst="rect">
          <a:avLst/>
        </a:prstGeom>
        <a:noFill/>
        <a:ln w="9525">
          <a:noFill/>
        </a:ln>
      </xdr:spPr>
    </xdr:pic>
  </etc:cellImage>
  <etc:cellImage>
    <xdr:pic>
      <xdr:nvPicPr>
        <xdr:cNvPr id="65" name="ID_9E64994EAB304FC2A9C21D15DD5968EA"/>
        <xdr:cNvPicPr>
          <a:picLocks noChangeAspect="1"/>
        </xdr:cNvPicPr>
      </xdr:nvPicPr>
      <xdr:blipFill>
        <a:blip r:embed="rId24"/>
        <a:stretch>
          <a:fillRect/>
        </a:stretch>
      </xdr:blipFill>
      <xdr:spPr>
        <a:xfrm>
          <a:off x="1468755" y="137934700"/>
          <a:ext cx="663575" cy="608965"/>
        </a:xfrm>
        <a:prstGeom prst="rect">
          <a:avLst/>
        </a:prstGeom>
        <a:noFill/>
        <a:ln w="9525">
          <a:noFill/>
        </a:ln>
      </xdr:spPr>
    </xdr:pic>
  </etc:cellImage>
  <etc:cellImage>
    <xdr:pic>
      <xdr:nvPicPr>
        <xdr:cNvPr id="66" name="ID_48E8D53CBB26487EA3F1A4D7FF92FF1B"/>
        <xdr:cNvPicPr>
          <a:picLocks noChangeAspect="1"/>
        </xdr:cNvPicPr>
      </xdr:nvPicPr>
      <xdr:blipFill>
        <a:blip r:embed="rId17"/>
        <a:stretch>
          <a:fillRect/>
        </a:stretch>
      </xdr:blipFill>
      <xdr:spPr>
        <a:xfrm>
          <a:off x="1468755" y="138950700"/>
          <a:ext cx="725170" cy="400050"/>
        </a:xfrm>
        <a:prstGeom prst="rect">
          <a:avLst/>
        </a:prstGeom>
        <a:noFill/>
        <a:ln w="9525">
          <a:noFill/>
        </a:ln>
      </xdr:spPr>
    </xdr:pic>
  </etc:cellImage>
  <etc:cellImage>
    <xdr:pic>
      <xdr:nvPicPr>
        <xdr:cNvPr id="82" name="ID_3AA3E89DC0C240D7B6DB869E12BD3392" descr="调料台1"/>
        <xdr:cNvPicPr>
          <a:picLocks noChangeAspect="1"/>
        </xdr:cNvPicPr>
      </xdr:nvPicPr>
      <xdr:blipFill>
        <a:blip r:embed="rId25"/>
        <a:stretch>
          <a:fillRect/>
        </a:stretch>
      </xdr:blipFill>
      <xdr:spPr>
        <a:xfrm>
          <a:off x="1555750" y="142107285"/>
          <a:ext cx="794385" cy="561975"/>
        </a:xfrm>
        <a:prstGeom prst="rect">
          <a:avLst/>
        </a:prstGeom>
        <a:noFill/>
        <a:ln w="9525">
          <a:noFill/>
        </a:ln>
      </xdr:spPr>
    </xdr:pic>
  </etc:cellImage>
  <etc:cellImage>
    <xdr:pic>
      <xdr:nvPicPr>
        <xdr:cNvPr id="84" name="ID_4FFB9EA05E37448A91F8679B6C899E04" descr="平头炉单头"/>
        <xdr:cNvPicPr>
          <a:picLocks noChangeAspect="1"/>
        </xdr:cNvPicPr>
      </xdr:nvPicPr>
      <xdr:blipFill>
        <a:blip r:embed="rId26"/>
        <a:stretch>
          <a:fillRect/>
        </a:stretch>
      </xdr:blipFill>
      <xdr:spPr>
        <a:xfrm>
          <a:off x="1599565" y="140982700"/>
          <a:ext cx="629285" cy="683895"/>
        </a:xfrm>
        <a:prstGeom prst="rect">
          <a:avLst/>
        </a:prstGeom>
        <a:noFill/>
        <a:ln w="9525">
          <a:noFill/>
        </a:ln>
      </xdr:spPr>
    </xdr:pic>
  </etc:cellImage>
  <etc:cellImage>
    <xdr:pic>
      <xdr:nvPicPr>
        <xdr:cNvPr id="85" name="ID_DD9ABF354BDA4AA7A8927B666F955A2F"/>
        <xdr:cNvPicPr>
          <a:picLocks noChangeAspect="1"/>
        </xdr:cNvPicPr>
      </xdr:nvPicPr>
      <xdr:blipFill>
        <a:blip r:embed="rId27"/>
        <a:stretch>
          <a:fillRect/>
        </a:stretch>
      </xdr:blipFill>
      <xdr:spPr>
        <a:xfrm>
          <a:off x="1624965" y="143495395"/>
          <a:ext cx="645795" cy="744220"/>
        </a:xfrm>
        <a:prstGeom prst="rect">
          <a:avLst/>
        </a:prstGeom>
        <a:noFill/>
        <a:ln w="9525">
          <a:noFill/>
        </a:ln>
      </xdr:spPr>
    </xdr:pic>
  </etc:cellImage>
  <etc:cellImage>
    <xdr:pic>
      <xdr:nvPicPr>
        <xdr:cNvPr id="86" name="ID_75F85B15B08B4E59882C8D452D56FDD6" descr="单炒单尾灶"/>
        <xdr:cNvPicPr>
          <a:picLocks noChangeAspect="1"/>
        </xdr:cNvPicPr>
      </xdr:nvPicPr>
      <xdr:blipFill>
        <a:blip r:embed="rId28"/>
        <a:stretch>
          <a:fillRect/>
        </a:stretch>
      </xdr:blipFill>
      <xdr:spPr>
        <a:xfrm>
          <a:off x="1720215" y="144142460"/>
          <a:ext cx="960120" cy="905510"/>
        </a:xfrm>
        <a:prstGeom prst="rect">
          <a:avLst/>
        </a:prstGeom>
        <a:noFill/>
        <a:ln w="9525">
          <a:noFill/>
        </a:ln>
      </xdr:spPr>
    </xdr:pic>
  </etc:cellImage>
  <etc:cellImage>
    <xdr:pic>
      <xdr:nvPicPr>
        <xdr:cNvPr id="87" name="ID_B29C14B0BCB543598DB68F73F1BB7DAC" descr="P3~TNV6YQA@1Z~9]8N$VPVY"/>
        <xdr:cNvPicPr>
          <a:picLocks noChangeAspect="1"/>
        </xdr:cNvPicPr>
      </xdr:nvPicPr>
      <xdr:blipFill>
        <a:blip r:embed="rId22"/>
        <a:stretch>
          <a:fillRect/>
        </a:stretch>
      </xdr:blipFill>
      <xdr:spPr>
        <a:xfrm>
          <a:off x="1826260" y="147487005"/>
          <a:ext cx="768985" cy="647065"/>
        </a:xfrm>
        <a:prstGeom prst="rect">
          <a:avLst/>
        </a:prstGeom>
        <a:noFill/>
        <a:ln w="9525">
          <a:noFill/>
        </a:ln>
      </xdr:spPr>
    </xdr:pic>
  </etc:cellImage>
  <etc:cellImage>
    <xdr:pic>
      <xdr:nvPicPr>
        <xdr:cNvPr id="88" name="ID_258C014E46A744E8BC65DB46C499F8E8" descr="单门蒸柜.jpg"/>
        <xdr:cNvPicPr>
          <a:picLocks noChangeAspect="1"/>
        </xdr:cNvPicPr>
      </xdr:nvPicPr>
      <xdr:blipFill>
        <a:blip r:embed="rId29"/>
        <a:stretch>
          <a:fillRect/>
        </a:stretch>
      </xdr:blipFill>
      <xdr:spPr>
        <a:xfrm>
          <a:off x="1857375" y="146074765"/>
          <a:ext cx="558800" cy="740410"/>
        </a:xfrm>
        <a:prstGeom prst="rect">
          <a:avLst/>
        </a:prstGeom>
        <a:noFill/>
        <a:ln w="9525">
          <a:noFill/>
        </a:ln>
      </xdr:spPr>
    </xdr:pic>
  </etc:cellImage>
  <etc:cellImage>
    <xdr:pic>
      <xdr:nvPicPr>
        <xdr:cNvPr id="89" name="ID_509F5746262048F580EFD34E5750018A" descr="t013ee9438a8759d8dc.jpg"/>
        <xdr:cNvPicPr>
          <a:picLocks noChangeAspect="1"/>
        </xdr:cNvPicPr>
      </xdr:nvPicPr>
      <xdr:blipFill>
        <a:blip r:embed="rId30"/>
        <a:srcRect t="9750" b="6000"/>
        <a:stretch>
          <a:fillRect/>
        </a:stretch>
      </xdr:blipFill>
      <xdr:spPr>
        <a:xfrm>
          <a:off x="1882775" y="145253075"/>
          <a:ext cx="645795" cy="390525"/>
        </a:xfrm>
        <a:prstGeom prst="rect">
          <a:avLst/>
        </a:prstGeom>
        <a:noFill/>
        <a:ln w="9525">
          <a:noFill/>
        </a:ln>
      </xdr:spPr>
    </xdr:pic>
  </etc:cellImage>
  <etc:cellImage>
    <xdr:pic>
      <xdr:nvPicPr>
        <xdr:cNvPr id="90" name="ID_DEAF566EAC904B47895CE3AB123E883B"/>
        <xdr:cNvPicPr>
          <a:picLocks noChangeAspect="1"/>
        </xdr:cNvPicPr>
      </xdr:nvPicPr>
      <xdr:blipFill>
        <a:blip r:embed="rId31"/>
        <a:stretch>
          <a:fillRect/>
        </a:stretch>
      </xdr:blipFill>
      <xdr:spPr>
        <a:xfrm>
          <a:off x="1597660" y="148377275"/>
          <a:ext cx="776605" cy="742950"/>
        </a:xfrm>
        <a:prstGeom prst="rect">
          <a:avLst/>
        </a:prstGeom>
        <a:noFill/>
        <a:ln w="9525">
          <a:noFill/>
        </a:ln>
      </xdr:spPr>
    </xdr:pic>
  </etc:cellImage>
  <etc:cellImage>
    <xdr:pic>
      <xdr:nvPicPr>
        <xdr:cNvPr id="91" name="ID_E770D0408B4D47FD9FD0308182B49A5C" descr="C:\Users\Administrator\AppData\Roaming\Tencent\Users\742539809\QQ\WinTemp\RichOle\[9XKUXQ[08LFZXG@TZLVTV9.png"/>
        <xdr:cNvPicPr>
          <a:picLocks noChangeAspect="1"/>
        </xdr:cNvPicPr>
      </xdr:nvPicPr>
      <xdr:blipFill>
        <a:blip r:embed="rId21"/>
        <a:stretch>
          <a:fillRect/>
        </a:stretch>
      </xdr:blipFill>
      <xdr:spPr>
        <a:xfrm>
          <a:off x="1668145" y="149496145"/>
          <a:ext cx="662940" cy="522605"/>
        </a:xfrm>
        <a:prstGeom prst="rect">
          <a:avLst/>
        </a:prstGeom>
        <a:noFill/>
        <a:ln w="9525">
          <a:noFill/>
        </a:ln>
      </xdr:spPr>
    </xdr:pic>
  </etc:cellImage>
  <etc:cellImage>
    <xdr:pic>
      <xdr:nvPicPr>
        <xdr:cNvPr id="92" name="ID_E1E96428F3E04373B0E2743AE34612AC" descr="2009113017163485751"/>
        <xdr:cNvPicPr>
          <a:picLocks noChangeAspect="1"/>
        </xdr:cNvPicPr>
      </xdr:nvPicPr>
      <xdr:blipFill>
        <a:blip r:embed="rId32"/>
        <a:srcRect l="19768" r="24419" b="-3572"/>
        <a:stretch>
          <a:fillRect/>
        </a:stretch>
      </xdr:blipFill>
      <xdr:spPr>
        <a:xfrm>
          <a:off x="1711960" y="150234015"/>
          <a:ext cx="523875" cy="513715"/>
        </a:xfrm>
        <a:prstGeom prst="rect">
          <a:avLst/>
        </a:prstGeom>
        <a:noFill/>
        <a:ln w="9525">
          <a:noFill/>
        </a:ln>
      </xdr:spPr>
    </xdr:pic>
  </etc:cellImage>
  <etc:cellImage>
    <xdr:pic>
      <xdr:nvPicPr>
        <xdr:cNvPr id="93" name="ID_54EEF918B13F4B68A9C494DADEA8C165" descr="ZFQ3XS3OJOH`W4Y_4}BGLU9"/>
        <xdr:cNvPicPr>
          <a:picLocks noChangeAspect="1"/>
        </xdr:cNvPicPr>
      </xdr:nvPicPr>
      <xdr:blipFill>
        <a:blip r:embed="rId23"/>
        <a:stretch>
          <a:fillRect/>
        </a:stretch>
      </xdr:blipFill>
      <xdr:spPr>
        <a:xfrm>
          <a:off x="1468755" y="152394920"/>
          <a:ext cx="742315" cy="678180"/>
        </a:xfrm>
        <a:prstGeom prst="rect">
          <a:avLst/>
        </a:prstGeom>
        <a:noFill/>
        <a:ln w="9525">
          <a:noFill/>
        </a:ln>
      </xdr:spPr>
    </xdr:pic>
  </etc:cellImage>
  <etc:cellImage>
    <xdr:pic>
      <xdr:nvPicPr>
        <xdr:cNvPr id="94" name="ID_99D364964D9B48B496CFFB0A3079F5BF" descr="木案台"/>
        <xdr:cNvPicPr>
          <a:picLocks noChangeAspect="1"/>
        </xdr:cNvPicPr>
      </xdr:nvPicPr>
      <xdr:blipFill>
        <a:blip r:embed="rId33"/>
        <a:stretch>
          <a:fillRect/>
        </a:stretch>
      </xdr:blipFill>
      <xdr:spPr>
        <a:xfrm>
          <a:off x="1478280" y="151142700"/>
          <a:ext cx="751840" cy="608965"/>
        </a:xfrm>
        <a:prstGeom prst="rect">
          <a:avLst/>
        </a:prstGeom>
        <a:noFill/>
        <a:ln w="9525">
          <a:noFill/>
        </a:ln>
      </xdr:spPr>
    </xdr:pic>
  </etc:cellImage>
  <etc:cellImage>
    <xdr:pic>
      <xdr:nvPicPr>
        <xdr:cNvPr id="95" name="ID_5D69060F5F484D8CB2FFB8392355312D"/>
        <xdr:cNvPicPr>
          <a:picLocks noChangeAspect="1"/>
        </xdr:cNvPicPr>
      </xdr:nvPicPr>
      <xdr:blipFill>
        <a:blip r:embed="rId34"/>
        <a:stretch>
          <a:fillRect/>
        </a:stretch>
      </xdr:blipFill>
      <xdr:spPr>
        <a:xfrm>
          <a:off x="1468755" y="153174700"/>
          <a:ext cx="472440" cy="504825"/>
        </a:xfrm>
        <a:prstGeom prst="rect">
          <a:avLst/>
        </a:prstGeom>
        <a:noFill/>
        <a:ln w="9525">
          <a:noFill/>
        </a:ln>
      </xdr:spPr>
    </xdr:pic>
  </etc:cellImage>
  <etc:cellImage>
    <xdr:pic>
      <xdr:nvPicPr>
        <xdr:cNvPr id="97" name="ID_E05B9AEB4837426FBD9CE61FE17ACB07" descr="C:\Users\Administrator\AppData\Roaming\Tencent\Users\742539809\QQ\WinTemp\RichOle\[9XKUXQ[08LFZXG@TZLVTV9.png"/>
        <xdr:cNvPicPr>
          <a:picLocks noChangeAspect="1"/>
        </xdr:cNvPicPr>
      </xdr:nvPicPr>
      <xdr:blipFill>
        <a:blip r:embed="rId21"/>
        <a:stretch>
          <a:fillRect/>
        </a:stretch>
      </xdr:blipFill>
      <xdr:spPr>
        <a:xfrm>
          <a:off x="1743710" y="156267150"/>
          <a:ext cx="663575" cy="579120"/>
        </a:xfrm>
        <a:prstGeom prst="rect">
          <a:avLst/>
        </a:prstGeom>
        <a:noFill/>
        <a:ln w="9525">
          <a:noFill/>
        </a:ln>
      </xdr:spPr>
    </xdr:pic>
  </etc:cellImage>
  <etc:cellImage>
    <xdr:pic>
      <xdr:nvPicPr>
        <xdr:cNvPr id="96" name="ID_F0F086EEF86E4A05A1434E628D762427" descr="QW[V@X_YUSUF8CYFE]6Z@S1"/>
        <xdr:cNvPicPr>
          <a:picLocks noChangeAspect="1"/>
        </xdr:cNvPicPr>
      </xdr:nvPicPr>
      <xdr:blipFill>
        <a:blip r:embed="rId35"/>
        <a:stretch>
          <a:fillRect/>
        </a:stretch>
      </xdr:blipFill>
      <xdr:spPr>
        <a:xfrm>
          <a:off x="1683385" y="155413075"/>
          <a:ext cx="785495" cy="640080"/>
        </a:xfrm>
        <a:prstGeom prst="rect">
          <a:avLst/>
        </a:prstGeom>
        <a:noFill/>
        <a:ln w="9525">
          <a:noFill/>
        </a:ln>
      </xdr:spPr>
    </xdr:pic>
  </etc:cellImage>
  <etc:cellImage>
    <xdr:pic>
      <xdr:nvPicPr>
        <xdr:cNvPr id="98" name="ID_650FBA4BE8CA495F95D874B928F3BEB6"/>
        <xdr:cNvPicPr>
          <a:picLocks noChangeAspect="1"/>
        </xdr:cNvPicPr>
      </xdr:nvPicPr>
      <xdr:blipFill>
        <a:blip r:embed="rId36"/>
        <a:stretch>
          <a:fillRect/>
        </a:stretch>
      </xdr:blipFill>
      <xdr:spPr>
        <a:xfrm>
          <a:off x="1845310" y="157633670"/>
          <a:ext cx="445770" cy="448310"/>
        </a:xfrm>
        <a:prstGeom prst="rect">
          <a:avLst/>
        </a:prstGeom>
        <a:noFill/>
        <a:ln w="9525">
          <a:noFill/>
        </a:ln>
      </xdr:spPr>
    </xdr:pic>
  </etc:cellImage>
  <etc:cellImage>
    <xdr:pic>
      <xdr:nvPicPr>
        <xdr:cNvPr id="99" name="ID_34E76E04BAFA4FCD849562B2066DFE96"/>
        <xdr:cNvPicPr>
          <a:picLocks noChangeAspect="1"/>
        </xdr:cNvPicPr>
      </xdr:nvPicPr>
      <xdr:blipFill>
        <a:blip r:embed="rId17"/>
        <a:stretch>
          <a:fillRect/>
        </a:stretch>
      </xdr:blipFill>
      <xdr:spPr>
        <a:xfrm>
          <a:off x="1671955" y="161378265"/>
          <a:ext cx="725170" cy="437515"/>
        </a:xfrm>
        <a:prstGeom prst="rect">
          <a:avLst/>
        </a:prstGeom>
        <a:noFill/>
        <a:ln w="9525">
          <a:noFill/>
        </a:ln>
      </xdr:spPr>
    </xdr:pic>
  </etc:cellImage>
  <etc:cellImage>
    <xdr:pic>
      <xdr:nvPicPr>
        <xdr:cNvPr id="100" name="ID_D93C0160927E4B68A776929D47132083" descr="C:\Users\Administrator\AppData\Roaming\Tencent\Users\742539809\QQ\WinTemp\RichOle\[9XKUXQ[08LFZXG@TZLVTV9.png"/>
        <xdr:cNvPicPr>
          <a:picLocks noChangeAspect="1"/>
        </xdr:cNvPicPr>
      </xdr:nvPicPr>
      <xdr:blipFill>
        <a:blip r:embed="rId21"/>
        <a:stretch>
          <a:fillRect/>
        </a:stretch>
      </xdr:blipFill>
      <xdr:spPr>
        <a:xfrm>
          <a:off x="1727835" y="160423860"/>
          <a:ext cx="663575" cy="522605"/>
        </a:xfrm>
        <a:prstGeom prst="rect">
          <a:avLst/>
        </a:prstGeom>
        <a:noFill/>
        <a:ln w="9525">
          <a:noFill/>
        </a:ln>
      </xdr:spPr>
    </xdr:pic>
  </etc:cellImage>
  <etc:cellImage>
    <xdr:pic>
      <xdr:nvPicPr>
        <xdr:cNvPr id="101" name="ID_2015D7070C194BBE9DEEFE58F62B3A1B" descr="P3~TNV6YQA@1Z~9]8N$VPVY"/>
        <xdr:cNvPicPr>
          <a:picLocks noChangeAspect="1"/>
        </xdr:cNvPicPr>
      </xdr:nvPicPr>
      <xdr:blipFill>
        <a:blip r:embed="rId22"/>
        <a:stretch>
          <a:fillRect/>
        </a:stretch>
      </xdr:blipFill>
      <xdr:spPr>
        <a:xfrm>
          <a:off x="1664335" y="159467550"/>
          <a:ext cx="768985" cy="646430"/>
        </a:xfrm>
        <a:prstGeom prst="rect">
          <a:avLst/>
        </a:prstGeom>
        <a:noFill/>
        <a:ln w="9525">
          <a:noFill/>
        </a:ln>
      </xdr:spPr>
    </xdr:pic>
  </etc:cellImage>
  <etc:cellImage>
    <xdr:pic>
      <xdr:nvPicPr>
        <xdr:cNvPr id="102" name="ID_6841FFA429AA478BB935BAEB92EFDC3F" descr="IMG_310"/>
        <xdr:cNvPicPr>
          <a:picLocks noChangeAspect="1"/>
        </xdr:cNvPicPr>
      </xdr:nvPicPr>
      <xdr:blipFill>
        <a:blip r:embed="rId37"/>
        <a:stretch>
          <a:fillRect/>
        </a:stretch>
      </xdr:blipFill>
      <xdr:spPr>
        <a:xfrm>
          <a:off x="1468755" y="164740590"/>
          <a:ext cx="584835" cy="552450"/>
        </a:xfrm>
        <a:prstGeom prst="rect">
          <a:avLst/>
        </a:prstGeom>
        <a:noFill/>
        <a:ln w="9525">
          <a:noFill/>
        </a:ln>
      </xdr:spPr>
    </xdr:pic>
  </etc:cellImage>
  <etc:cellImage>
    <xdr:pic>
      <xdr:nvPicPr>
        <xdr:cNvPr id="103" name="ID_BC333397017E45B9928737FD7990D1C0"/>
        <xdr:cNvPicPr>
          <a:picLocks noChangeAspect="1"/>
        </xdr:cNvPicPr>
      </xdr:nvPicPr>
      <xdr:blipFill>
        <a:blip r:embed="rId38"/>
        <a:stretch>
          <a:fillRect/>
        </a:stretch>
      </xdr:blipFill>
      <xdr:spPr>
        <a:xfrm>
          <a:off x="1526540" y="163334700"/>
          <a:ext cx="523875" cy="701675"/>
        </a:xfrm>
        <a:prstGeom prst="rect">
          <a:avLst/>
        </a:prstGeom>
        <a:noFill/>
        <a:ln w="9525">
          <a:noFill/>
        </a:ln>
      </xdr:spPr>
    </xdr:pic>
  </etc:cellImage>
  <etc:cellImage>
    <xdr:pic>
      <xdr:nvPicPr>
        <xdr:cNvPr id="104" name="ID_A1CFC471C4FD44E68689E2699248C3DA"/>
        <xdr:cNvPicPr>
          <a:picLocks noChangeAspect="1"/>
        </xdr:cNvPicPr>
      </xdr:nvPicPr>
      <xdr:blipFill>
        <a:blip r:embed="rId17"/>
        <a:stretch>
          <a:fillRect/>
        </a:stretch>
      </xdr:blipFill>
      <xdr:spPr>
        <a:xfrm>
          <a:off x="1658620" y="166420800"/>
          <a:ext cx="725170" cy="427990"/>
        </a:xfrm>
        <a:prstGeom prst="rect">
          <a:avLst/>
        </a:prstGeom>
        <a:noFill/>
        <a:ln w="9525">
          <a:noFill/>
        </a:ln>
      </xdr:spPr>
    </xdr:pic>
  </etc:cellImage>
  <etc:cellImage>
    <xdr:pic>
      <xdr:nvPicPr>
        <xdr:cNvPr id="105" name="ID_4BA461D921A24BBAB641C84E39C3133C"/>
        <xdr:cNvPicPr/>
      </xdr:nvPicPr>
      <xdr:blipFill>
        <a:blip r:embed="rId39"/>
        <a:stretch>
          <a:fillRect/>
        </a:stretch>
      </xdr:blipFill>
      <xdr:spPr>
        <a:xfrm>
          <a:off x="1645285" y="165868350"/>
          <a:ext cx="734060" cy="420370"/>
        </a:xfrm>
        <a:prstGeom prst="rect">
          <a:avLst/>
        </a:prstGeom>
        <a:noFill/>
        <a:ln w="9525">
          <a:noFill/>
        </a:ln>
      </xdr:spPr>
    </xdr:pic>
  </etc:cellImage>
  <etc:cellImage>
    <xdr:pic>
      <xdr:nvPicPr>
        <xdr:cNvPr id="106" name="ID_749511451ABE4DD1B0DDB7135F292CEB" descr="C:\Users\Administrator\AppData\Roaming\Tencent\Users\742539809\QQ\WinTemp\RichOle\[9XKUXQ[08LFZXG@TZLVTV9.png"/>
        <xdr:cNvPicPr>
          <a:picLocks noChangeAspect="1"/>
        </xdr:cNvPicPr>
      </xdr:nvPicPr>
      <xdr:blipFill>
        <a:blip r:embed="rId21"/>
        <a:stretch>
          <a:fillRect/>
        </a:stretch>
      </xdr:blipFill>
      <xdr:spPr>
        <a:xfrm>
          <a:off x="1468755" y="168414700"/>
          <a:ext cx="663575" cy="523875"/>
        </a:xfrm>
        <a:prstGeom prst="rect">
          <a:avLst/>
        </a:prstGeom>
        <a:noFill/>
        <a:ln w="9525">
          <a:noFill/>
        </a:ln>
      </xdr:spPr>
    </xdr:pic>
  </etc:cellImage>
  <etc:cellImage>
    <xdr:pic>
      <xdr:nvPicPr>
        <xdr:cNvPr id="107" name="ID_BAC66E712ECC4363967FC7C36B017173" descr="图2片1.png"/>
        <xdr:cNvPicPr>
          <a:picLocks noChangeAspect="1"/>
        </xdr:cNvPicPr>
      </xdr:nvPicPr>
      <xdr:blipFill>
        <a:blip r:embed="rId40"/>
        <a:stretch>
          <a:fillRect/>
        </a:stretch>
      </xdr:blipFill>
      <xdr:spPr>
        <a:xfrm>
          <a:off x="1673860" y="172730160"/>
          <a:ext cx="725170" cy="572770"/>
        </a:xfrm>
        <a:prstGeom prst="rect">
          <a:avLst/>
        </a:prstGeom>
        <a:noFill/>
        <a:ln w="9525">
          <a:noFill/>
        </a:ln>
      </xdr:spPr>
    </xdr:pic>
  </etc:cellImage>
  <etc:cellImage>
    <xdr:pic>
      <xdr:nvPicPr>
        <xdr:cNvPr id="108" name="ID_AE82AB007CA24627A324D99BFE71D9B4"/>
        <xdr:cNvPicPr>
          <a:picLocks noChangeAspect="1"/>
        </xdr:cNvPicPr>
      </xdr:nvPicPr>
      <xdr:blipFill>
        <a:blip r:embed="rId41"/>
        <a:stretch>
          <a:fillRect/>
        </a:stretch>
      </xdr:blipFill>
      <xdr:spPr>
        <a:xfrm>
          <a:off x="1807845" y="170548300"/>
          <a:ext cx="733425" cy="466725"/>
        </a:xfrm>
        <a:prstGeom prst="rect">
          <a:avLst/>
        </a:prstGeom>
        <a:noFill/>
        <a:ln w="1">
          <a:noFill/>
        </a:ln>
      </xdr:spPr>
    </xdr:pic>
  </etc:cellImage>
  <etc:cellImage>
    <xdr:pic>
      <xdr:nvPicPr>
        <xdr:cNvPr id="109" name="ID_968455F2EFBC49218CF2D6B39FD0D48E" descr="9HF_XC_Z4DBD34EVH0})5$A"/>
        <xdr:cNvPicPr>
          <a:picLocks noChangeAspect="1"/>
        </xdr:cNvPicPr>
      </xdr:nvPicPr>
      <xdr:blipFill>
        <a:blip r:embed="rId42"/>
        <a:stretch>
          <a:fillRect/>
        </a:stretch>
      </xdr:blipFill>
      <xdr:spPr>
        <a:xfrm>
          <a:off x="1708150" y="171825285"/>
          <a:ext cx="576580" cy="494665"/>
        </a:xfrm>
        <a:prstGeom prst="rect">
          <a:avLst/>
        </a:prstGeom>
        <a:noFill/>
        <a:ln w="9525">
          <a:noFill/>
        </a:ln>
      </xdr:spPr>
    </xdr:pic>
  </etc:cellImage>
  <etc:cellImage>
    <xdr:pic>
      <xdr:nvPicPr>
        <xdr:cNvPr id="110" name="ID_850410C196514D0A8D673CD278902596" descr="图22片1.png"/>
        <xdr:cNvPicPr>
          <a:picLocks noChangeAspect="1"/>
        </xdr:cNvPicPr>
      </xdr:nvPicPr>
      <xdr:blipFill>
        <a:blip r:embed="rId43"/>
        <a:stretch>
          <a:fillRect/>
        </a:stretch>
      </xdr:blipFill>
      <xdr:spPr>
        <a:xfrm>
          <a:off x="1468755" y="173494700"/>
          <a:ext cx="681355" cy="925195"/>
        </a:xfrm>
        <a:prstGeom prst="rect">
          <a:avLst/>
        </a:prstGeom>
        <a:noFill/>
        <a:ln w="9525">
          <a:noFill/>
        </a:ln>
      </xdr:spPr>
    </xdr:pic>
  </etc:cellImage>
  <etc:cellImage>
    <xdr:pic>
      <xdr:nvPicPr>
        <xdr:cNvPr id="113" name="ID_713E9C3202B14D97AD147CEC6BE7749D"/>
        <xdr:cNvPicPr/>
      </xdr:nvPicPr>
      <xdr:blipFill>
        <a:blip r:embed="rId44"/>
        <a:srcRect l="15315" t="11583" r="13063" b="27026"/>
        <a:stretch>
          <a:fillRect/>
        </a:stretch>
      </xdr:blipFill>
      <xdr:spPr>
        <a:xfrm>
          <a:off x="1468755" y="174510700"/>
          <a:ext cx="567690" cy="457835"/>
        </a:xfrm>
        <a:prstGeom prst="rect">
          <a:avLst/>
        </a:prstGeom>
        <a:noFill/>
        <a:ln w="9525">
          <a:noFill/>
        </a:ln>
      </xdr:spPr>
    </xdr:pic>
  </etc:cellImage>
  <etc:cellImage>
    <xdr:pic>
      <xdr:nvPicPr>
        <xdr:cNvPr id="111" name="ID_2666E8992F1D4D28B2EE83A21E6DE763"/>
        <xdr:cNvPicPr>
          <a:picLocks noChangeAspect="1"/>
        </xdr:cNvPicPr>
      </xdr:nvPicPr>
      <xdr:blipFill>
        <a:blip r:embed="rId45"/>
        <a:stretch>
          <a:fillRect/>
        </a:stretch>
      </xdr:blipFill>
      <xdr:spPr>
        <a:xfrm>
          <a:off x="1782445" y="175936275"/>
          <a:ext cx="549910" cy="455930"/>
        </a:xfrm>
        <a:prstGeom prst="rect">
          <a:avLst/>
        </a:prstGeom>
        <a:noFill/>
        <a:ln w="9525">
          <a:noFill/>
        </a:ln>
      </xdr:spPr>
    </xdr:pic>
  </etc:cellImage>
  <etc:cellImage>
    <xdr:pic>
      <xdr:nvPicPr>
        <xdr:cNvPr id="112" name="ID_095E07C7D93A46B99AB4F11E3B876F68"/>
        <xdr:cNvPicPr/>
      </xdr:nvPicPr>
      <xdr:blipFill>
        <a:blip r:embed="rId46"/>
        <a:stretch>
          <a:fillRect/>
        </a:stretch>
      </xdr:blipFill>
      <xdr:spPr>
        <a:xfrm>
          <a:off x="1638300" y="176887505"/>
          <a:ext cx="567690" cy="305435"/>
        </a:xfrm>
        <a:prstGeom prst="rect">
          <a:avLst/>
        </a:prstGeom>
        <a:noFill/>
        <a:ln w="9525">
          <a:noFill/>
        </a:ln>
      </xdr:spPr>
    </xdr:pic>
  </etc:cellImage>
  <etc:cellImage>
    <xdr:pic>
      <xdr:nvPicPr>
        <xdr:cNvPr id="114" name="ID_2388A64FD7164A2D9A0172DDD8EF3A8C"/>
        <xdr:cNvPicPr/>
      </xdr:nvPicPr>
      <xdr:blipFill>
        <a:blip r:embed="rId47"/>
        <a:stretch>
          <a:fillRect/>
        </a:stretch>
      </xdr:blipFill>
      <xdr:spPr>
        <a:xfrm>
          <a:off x="1801495" y="178136550"/>
          <a:ext cx="645795" cy="353060"/>
        </a:xfrm>
        <a:prstGeom prst="rect">
          <a:avLst/>
        </a:prstGeom>
        <a:noFill/>
        <a:ln w="9525">
          <a:noFill/>
        </a:ln>
      </xdr:spPr>
    </xdr:pic>
  </etc:cellImage>
  <etc:cellImage>
    <xdr:pic>
      <xdr:nvPicPr>
        <xdr:cNvPr id="115" name="ID_0F5BF9D0B61041AF88C08399477CC6B3"/>
        <xdr:cNvPicPr/>
      </xdr:nvPicPr>
      <xdr:blipFill>
        <a:blip r:embed="rId47"/>
        <a:stretch>
          <a:fillRect/>
        </a:stretch>
      </xdr:blipFill>
      <xdr:spPr>
        <a:xfrm>
          <a:off x="1788160" y="178631850"/>
          <a:ext cx="671830" cy="353060"/>
        </a:xfrm>
        <a:prstGeom prst="rect">
          <a:avLst/>
        </a:prstGeom>
        <a:noFill/>
        <a:ln w="9525">
          <a:noFill/>
        </a:ln>
      </xdr:spPr>
    </xdr:pic>
  </etc:cellImage>
  <etc:cellImage>
    <xdr:pic>
      <xdr:nvPicPr>
        <xdr:cNvPr id="116" name="ID_338685409E46476A948CCB6400B2C1B9" descr="timg?image&amp;quality=80&amp;size=b9999_10000&amp;sec=1567456437713&amp;di=07da5c7504cd281c44a4f4abbba073d7&amp;imgtype=0&amp;src=http%3A%2F%2Fimg011"/>
        <xdr:cNvPicPr>
          <a:picLocks noChangeAspect="1"/>
        </xdr:cNvPicPr>
      </xdr:nvPicPr>
      <xdr:blipFill>
        <a:blip r:embed="rId48"/>
        <a:stretch>
          <a:fillRect/>
        </a:stretch>
      </xdr:blipFill>
      <xdr:spPr>
        <a:xfrm>
          <a:off x="1783080" y="179647850"/>
          <a:ext cx="514985" cy="371475"/>
        </a:xfrm>
        <a:prstGeom prst="rect">
          <a:avLst/>
        </a:prstGeom>
        <a:noFill/>
        <a:ln w="9525">
          <a:noFill/>
        </a:ln>
      </xdr:spPr>
    </xdr:pic>
  </etc:cellImage>
  <etc:cellImage>
    <xdr:pic>
      <xdr:nvPicPr>
        <xdr:cNvPr id="117" name="ID_D9DBD881ADBB492ABDA8A16478901513" descr="XW{Z~A}}067KNJ(_[JH)88T"/>
        <xdr:cNvPicPr>
          <a:picLocks noChangeAspect="1"/>
        </xdr:cNvPicPr>
      </xdr:nvPicPr>
      <xdr:blipFill>
        <a:blip r:embed="rId49"/>
        <a:stretch>
          <a:fillRect/>
        </a:stretch>
      </xdr:blipFill>
      <xdr:spPr>
        <a:xfrm>
          <a:off x="1765935" y="180654325"/>
          <a:ext cx="471805" cy="968375"/>
        </a:xfrm>
        <a:prstGeom prst="rect">
          <a:avLst/>
        </a:prstGeom>
        <a:noFill/>
        <a:ln w="9525">
          <a:noFill/>
        </a:ln>
      </xdr:spPr>
    </xdr:pic>
  </etc:cellImage>
  <etc:cellImage>
    <xdr:pic>
      <xdr:nvPicPr>
        <xdr:cNvPr id="118" name="ID_2550B24B342D4ED39A6E7818BE43F052" descr="图片24.png"/>
        <xdr:cNvPicPr>
          <a:picLocks noChangeAspect="1"/>
        </xdr:cNvPicPr>
      </xdr:nvPicPr>
      <xdr:blipFill>
        <a:blip r:embed="rId50"/>
        <a:stretch>
          <a:fillRect/>
        </a:stretch>
      </xdr:blipFill>
      <xdr:spPr>
        <a:xfrm>
          <a:off x="1779905" y="182659655"/>
          <a:ext cx="620395" cy="466725"/>
        </a:xfrm>
        <a:prstGeom prst="rect">
          <a:avLst/>
        </a:prstGeom>
        <a:noFill/>
        <a:ln w="9525">
          <a:noFill/>
        </a:ln>
      </xdr:spPr>
    </xdr:pic>
  </etc:cellImage>
  <etc:cellImage>
    <xdr:pic>
      <xdr:nvPicPr>
        <xdr:cNvPr id="119" name="ID_102CFEB2B6064433B3A928364A3F5B08"/>
        <xdr:cNvPicPr>
          <a:picLocks noChangeAspect="1"/>
        </xdr:cNvPicPr>
      </xdr:nvPicPr>
      <xdr:blipFill>
        <a:blip r:embed="rId51"/>
        <a:stretch>
          <a:fillRect/>
        </a:stretch>
      </xdr:blipFill>
      <xdr:spPr>
        <a:xfrm>
          <a:off x="1778635" y="182143400"/>
          <a:ext cx="541655" cy="361950"/>
        </a:xfrm>
        <a:prstGeom prst="rect">
          <a:avLst/>
        </a:prstGeom>
        <a:noFill/>
        <a:ln w="1">
          <a:noFill/>
        </a:ln>
      </xdr:spPr>
    </xdr:pic>
  </etc:cellImage>
  <etc:cellImage>
    <xdr:pic>
      <xdr:nvPicPr>
        <xdr:cNvPr id="120" name="ID_C9D10B0FDCC14CC2A33C9F502C9F3583" descr="GL]1I$XI%FB8VMO4Y%D~2BA"/>
        <xdr:cNvPicPr>
          <a:picLocks noChangeAspect="1"/>
        </xdr:cNvPicPr>
      </xdr:nvPicPr>
      <xdr:blipFill>
        <a:blip r:embed="rId52"/>
        <a:stretch>
          <a:fillRect/>
        </a:stretch>
      </xdr:blipFill>
      <xdr:spPr>
        <a:xfrm>
          <a:off x="1873885" y="184708165"/>
          <a:ext cx="576580" cy="305435"/>
        </a:xfrm>
        <a:prstGeom prst="rect">
          <a:avLst/>
        </a:prstGeom>
        <a:noFill/>
        <a:ln w="9525">
          <a:noFill/>
        </a:ln>
      </xdr:spPr>
    </xdr:pic>
  </etc:cellImage>
  <etc:cellImage>
    <xdr:pic>
      <xdr:nvPicPr>
        <xdr:cNvPr id="121" name="ID_5DA8542EFC24467AB88399FF53F66648"/>
        <xdr:cNvPicPr/>
      </xdr:nvPicPr>
      <xdr:blipFill>
        <a:blip r:embed="rId53"/>
        <a:stretch>
          <a:fillRect/>
        </a:stretch>
      </xdr:blipFill>
      <xdr:spPr>
        <a:xfrm>
          <a:off x="1887220" y="184184925"/>
          <a:ext cx="532130" cy="371475"/>
        </a:xfrm>
        <a:prstGeom prst="rect">
          <a:avLst/>
        </a:prstGeom>
        <a:noFill/>
        <a:ln w="9525">
          <a:noFill/>
        </a:ln>
      </xdr:spPr>
    </xdr:pic>
  </etc:cellImage>
  <etc:cellImage>
    <xdr:pic>
      <xdr:nvPicPr>
        <xdr:cNvPr id="128" name="ID_2B3C992F901045A29CFD3A8507549740"/>
        <xdr:cNvPicPr>
          <a:picLocks noChangeAspect="1"/>
        </xdr:cNvPicPr>
      </xdr:nvPicPr>
      <xdr:blipFill>
        <a:blip r:embed="rId54"/>
        <a:stretch>
          <a:fillRect/>
        </a:stretch>
      </xdr:blipFill>
      <xdr:spPr>
        <a:xfrm>
          <a:off x="1468755" y="188734700"/>
          <a:ext cx="698500" cy="1051560"/>
        </a:xfrm>
        <a:prstGeom prst="rect">
          <a:avLst/>
        </a:prstGeom>
        <a:noFill/>
        <a:ln w="9525">
          <a:noFill/>
        </a:ln>
      </xdr:spPr>
    </xdr:pic>
  </etc:cellImage>
  <etc:cellImage>
    <xdr:pic>
      <xdr:nvPicPr>
        <xdr:cNvPr id="124" name="ID_E5B457E2D647473A85843AC7AE7EB15F" descr="7]Y5R5[41SS{{TGS_}AI6Z1"/>
        <xdr:cNvPicPr>
          <a:picLocks noChangeAspect="1"/>
        </xdr:cNvPicPr>
      </xdr:nvPicPr>
      <xdr:blipFill>
        <a:blip r:embed="rId55"/>
        <a:stretch>
          <a:fillRect/>
        </a:stretch>
      </xdr:blipFill>
      <xdr:spPr>
        <a:xfrm>
          <a:off x="1468755" y="185686700"/>
          <a:ext cx="672465" cy="371475"/>
        </a:xfrm>
        <a:prstGeom prst="rect">
          <a:avLst/>
        </a:prstGeom>
        <a:noFill/>
        <a:ln w="9525">
          <a:noFill/>
        </a:ln>
      </xdr:spPr>
    </xdr:pic>
  </etc:cellImage>
  <etc:cellImage>
    <xdr:pic>
      <xdr:nvPicPr>
        <xdr:cNvPr id="125" name="ID_784393B356564644927D2EC4303DA76D"/>
        <xdr:cNvPicPr>
          <a:picLocks noChangeAspect="1"/>
        </xdr:cNvPicPr>
      </xdr:nvPicPr>
      <xdr:blipFill>
        <a:blip r:embed="rId56"/>
        <a:stretch>
          <a:fillRect/>
        </a:stretch>
      </xdr:blipFill>
      <xdr:spPr>
        <a:xfrm>
          <a:off x="1468755" y="186702700"/>
          <a:ext cx="611505" cy="353060"/>
        </a:xfrm>
        <a:prstGeom prst="rect">
          <a:avLst/>
        </a:prstGeom>
        <a:noFill/>
        <a:ln w="9525">
          <a:noFill/>
        </a:ln>
      </xdr:spPr>
    </xdr:pic>
  </etc:cellImage>
  <etc:cellImage>
    <xdr:pic>
      <xdr:nvPicPr>
        <xdr:cNvPr id="126" name="ID_E1EAB040BE174C1AA13BEEF5517EF00C" descr="20095301535437176"/>
        <xdr:cNvPicPr>
          <a:picLocks noChangeAspect="1"/>
        </xdr:cNvPicPr>
      </xdr:nvPicPr>
      <xdr:blipFill>
        <a:blip r:embed="rId57"/>
        <a:stretch>
          <a:fillRect/>
        </a:stretch>
      </xdr:blipFill>
      <xdr:spPr>
        <a:xfrm>
          <a:off x="1468755" y="187718700"/>
          <a:ext cx="611505" cy="466725"/>
        </a:xfrm>
        <a:prstGeom prst="rect">
          <a:avLst/>
        </a:prstGeom>
        <a:noFill/>
        <a:ln w="9525">
          <a:noFill/>
        </a:ln>
      </xdr:spPr>
    </xdr:pic>
  </etc:cellImage>
  <etc:cellImage>
    <xdr:pic>
      <xdr:nvPicPr>
        <xdr:cNvPr id="129" name="ID_03C009A42AAC4191A7394F188C675501" descr="3ff2ecb178c7f2fd8bc28b0de61d7b6"/>
        <xdr:cNvPicPr>
          <a:picLocks noChangeAspect="1"/>
        </xdr:cNvPicPr>
      </xdr:nvPicPr>
      <xdr:blipFill>
        <a:blip r:embed="rId58"/>
        <a:stretch>
          <a:fillRect/>
        </a:stretch>
      </xdr:blipFill>
      <xdr:spPr>
        <a:xfrm>
          <a:off x="1468755" y="190296800"/>
          <a:ext cx="1400175" cy="1423035"/>
        </a:xfrm>
        <a:prstGeom prst="rect">
          <a:avLst/>
        </a:prstGeom>
      </xdr:spPr>
    </xdr:pic>
  </etc:cellImage>
  <etc:cellImage>
    <xdr:pic>
      <xdr:nvPicPr>
        <xdr:cNvPr id="133" name="ID_76670CB652AF4EC696E0D55D832DDAFC" descr="图片9"/>
        <xdr:cNvPicPr>
          <a:picLocks noChangeAspect="1"/>
        </xdr:cNvPicPr>
      </xdr:nvPicPr>
      <xdr:blipFill>
        <a:blip r:embed="rId59"/>
        <a:stretch>
          <a:fillRect/>
        </a:stretch>
      </xdr:blipFill>
      <xdr:spPr>
        <a:xfrm>
          <a:off x="1718310" y="242015645"/>
          <a:ext cx="811530" cy="430530"/>
        </a:xfrm>
        <a:prstGeom prst="rect">
          <a:avLst/>
        </a:prstGeom>
        <a:noFill/>
        <a:ln w="9525">
          <a:noFill/>
        </a:ln>
      </xdr:spPr>
    </xdr:pic>
  </etc:cellImage>
  <etc:cellImage>
    <xdr:pic>
      <xdr:nvPicPr>
        <xdr:cNvPr id="134" name="ID_04E5EB97FCD34D84B38C031ADCF4C545" descr="C:\Users\ljs\Desktop\产品图\GCK800I.png"/>
        <xdr:cNvPicPr>
          <a:picLocks noChangeAspect="1"/>
        </xdr:cNvPicPr>
      </xdr:nvPicPr>
      <xdr:blipFill>
        <a:blip r:embed="rId60"/>
        <a:stretch>
          <a:fillRect/>
        </a:stretch>
      </xdr:blipFill>
      <xdr:spPr>
        <a:xfrm>
          <a:off x="1843405" y="246087265"/>
          <a:ext cx="454660" cy="817880"/>
        </a:xfrm>
        <a:prstGeom prst="rect">
          <a:avLst/>
        </a:prstGeom>
        <a:noFill/>
        <a:ln w="9525">
          <a:noFill/>
        </a:ln>
      </xdr:spPr>
    </xdr:pic>
  </etc:cellImage>
  <etc:cellImage>
    <xdr:pic>
      <xdr:nvPicPr>
        <xdr:cNvPr id="163" name="ID_F3DB7805EDA74871A997B73C92C58C42" descr="1611977102(1)"/>
        <xdr:cNvPicPr>
          <a:picLocks noChangeAspect="1"/>
        </xdr:cNvPicPr>
      </xdr:nvPicPr>
      <xdr:blipFill>
        <a:blip r:embed="rId61"/>
        <a:stretch>
          <a:fillRect/>
        </a:stretch>
      </xdr:blipFill>
      <xdr:spPr>
        <a:xfrm>
          <a:off x="2446655" y="344537030"/>
          <a:ext cx="173355" cy="925195"/>
        </a:xfrm>
        <a:prstGeom prst="rect">
          <a:avLst/>
        </a:prstGeom>
        <a:noFill/>
        <a:ln w="9525">
          <a:noFill/>
        </a:ln>
      </xdr:spPr>
    </xdr:pic>
  </etc:cellImage>
  <etc:cellImage>
    <xdr:pic>
      <xdr:nvPicPr>
        <xdr:cNvPr id="164" name="ID_D3813FBA72DA4343BA64DE35A4FACDBD" descr="}Q%LB3ZW~C29$76SQ0QRLJ5"/>
        <xdr:cNvPicPr>
          <a:picLocks noChangeAspect="1"/>
        </xdr:cNvPicPr>
      </xdr:nvPicPr>
      <xdr:blipFill>
        <a:blip r:embed="rId62"/>
        <a:stretch>
          <a:fillRect/>
        </a:stretch>
      </xdr:blipFill>
      <xdr:spPr>
        <a:xfrm>
          <a:off x="1691005" y="346236925"/>
          <a:ext cx="1863090" cy="108585"/>
        </a:xfrm>
        <a:prstGeom prst="rect">
          <a:avLst/>
        </a:prstGeom>
        <a:noFill/>
        <a:ln w="9525">
          <a:noFill/>
        </a:ln>
      </xdr:spPr>
    </xdr:pic>
  </etc:cellImage>
  <etc:cellImage>
    <xdr:pic>
      <xdr:nvPicPr>
        <xdr:cNvPr id="165" name="ID_6B8B627AB5A94DEE99FAAF5638692484" descr="]EN7QE30)]DGBEK1LWZAW`G"/>
        <xdr:cNvPicPr>
          <a:picLocks noChangeAspect="1"/>
        </xdr:cNvPicPr>
      </xdr:nvPicPr>
      <xdr:blipFill>
        <a:blip r:embed="rId63"/>
        <a:stretch>
          <a:fillRect/>
        </a:stretch>
      </xdr:blipFill>
      <xdr:spPr>
        <a:xfrm>
          <a:off x="1913255" y="346518230"/>
          <a:ext cx="1275715" cy="979170"/>
        </a:xfrm>
        <a:prstGeom prst="rect">
          <a:avLst/>
        </a:prstGeom>
        <a:noFill/>
        <a:ln w="9525">
          <a:noFill/>
        </a:ln>
      </xdr:spPr>
    </xdr:pic>
  </etc:cellImage>
  <etc:cellImage>
    <xdr:pic>
      <xdr:nvPicPr>
        <xdr:cNvPr id="166" name="ID_776FF81B874F42E9B8616796A747A4B8" descr="BDGQD}0M`K%$[0$`3~RE`Z9"/>
        <xdr:cNvPicPr>
          <a:picLocks noChangeAspect="1"/>
        </xdr:cNvPicPr>
      </xdr:nvPicPr>
      <xdr:blipFill>
        <a:blip r:embed="rId64"/>
        <a:stretch>
          <a:fillRect/>
        </a:stretch>
      </xdr:blipFill>
      <xdr:spPr>
        <a:xfrm>
          <a:off x="1542415" y="347644720"/>
          <a:ext cx="2134235" cy="868680"/>
        </a:xfrm>
        <a:prstGeom prst="rect">
          <a:avLst/>
        </a:prstGeom>
        <a:noFill/>
        <a:ln w="9525">
          <a:noFill/>
        </a:ln>
      </xdr:spPr>
    </xdr:pic>
  </etc:cellImage>
  <etc:cellImage>
    <xdr:pic>
      <xdr:nvPicPr>
        <xdr:cNvPr id="167" name="ID_4F0AF02396724C31B6D7786B5CC213F4" descr="5BQ06HF8%P3JI3YGA%2CUIL"/>
        <xdr:cNvPicPr>
          <a:picLocks noChangeAspect="1"/>
        </xdr:cNvPicPr>
      </xdr:nvPicPr>
      <xdr:blipFill>
        <a:blip r:embed="rId65"/>
        <a:stretch>
          <a:fillRect/>
        </a:stretch>
      </xdr:blipFill>
      <xdr:spPr>
        <a:xfrm>
          <a:off x="1597660" y="348526735"/>
          <a:ext cx="1926590" cy="840740"/>
        </a:xfrm>
        <a:prstGeom prst="rect">
          <a:avLst/>
        </a:prstGeom>
        <a:noFill/>
        <a:ln w="9525">
          <a:noFill/>
        </a:ln>
      </xdr:spPr>
    </xdr:pic>
  </etc:cellImage>
  <etc:cellImage>
    <xdr:pic>
      <xdr:nvPicPr>
        <xdr:cNvPr id="168" name="ID_64CE7C0FCE5E4B57B6276779C7D82EF6" descr="9NH(QW8CMMTZP(@@C8@Y`~V"/>
        <xdr:cNvPicPr>
          <a:picLocks noChangeAspect="1"/>
        </xdr:cNvPicPr>
      </xdr:nvPicPr>
      <xdr:blipFill>
        <a:blip r:embed="rId66"/>
        <a:stretch>
          <a:fillRect/>
        </a:stretch>
      </xdr:blipFill>
      <xdr:spPr>
        <a:xfrm>
          <a:off x="1862455" y="349561150"/>
          <a:ext cx="1459865" cy="877570"/>
        </a:xfrm>
        <a:prstGeom prst="rect">
          <a:avLst/>
        </a:prstGeom>
        <a:noFill/>
        <a:ln w="9525">
          <a:noFill/>
        </a:ln>
      </xdr:spPr>
    </xdr:pic>
  </etc:cellImage>
  <etc:cellImage>
    <xdr:pic>
      <xdr:nvPicPr>
        <xdr:cNvPr id="169" name="ID_20F5540D3FA443C0BCDEFA1850B4E551" descr="PF`8UG2O)PX`OV_J(793QPJ"/>
        <xdr:cNvPicPr>
          <a:picLocks noChangeAspect="1"/>
        </xdr:cNvPicPr>
      </xdr:nvPicPr>
      <xdr:blipFill>
        <a:blip r:embed="rId67"/>
        <a:stretch>
          <a:fillRect/>
        </a:stretch>
      </xdr:blipFill>
      <xdr:spPr>
        <a:xfrm>
          <a:off x="1768475" y="350777175"/>
          <a:ext cx="1633220" cy="679450"/>
        </a:xfrm>
        <a:prstGeom prst="rect">
          <a:avLst/>
        </a:prstGeom>
        <a:noFill/>
        <a:ln w="9525">
          <a:noFill/>
        </a:ln>
      </xdr:spPr>
    </xdr:pic>
  </etc:cellImage>
  <etc:cellImage>
    <xdr:pic>
      <xdr:nvPicPr>
        <xdr:cNvPr id="170" name="ID_06B6B717D7D04AC19531247F46D38394" descr="$A333}0OM`22[7G_7@$J%@S"/>
        <xdr:cNvPicPr>
          <a:picLocks noChangeAspect="1"/>
        </xdr:cNvPicPr>
      </xdr:nvPicPr>
      <xdr:blipFill>
        <a:blip r:embed="rId68"/>
        <a:stretch>
          <a:fillRect/>
        </a:stretch>
      </xdr:blipFill>
      <xdr:spPr>
        <a:xfrm>
          <a:off x="2192655" y="352563430"/>
          <a:ext cx="827405" cy="616585"/>
        </a:xfrm>
        <a:prstGeom prst="rect">
          <a:avLst/>
        </a:prstGeom>
        <a:noFill/>
        <a:ln w="9525">
          <a:noFill/>
        </a:ln>
      </xdr:spPr>
    </xdr:pic>
  </etc:cellImage>
  <etc:cellImage>
    <xdr:pic>
      <xdr:nvPicPr>
        <xdr:cNvPr id="176" name="ID_1F5BD9A5044F4AD2AE51E984473EAC39" descr="$$I_UO@[FJ[I%@DLT$FX2%2"/>
        <xdr:cNvPicPr>
          <a:picLocks noChangeAspect="1"/>
        </xdr:cNvPicPr>
      </xdr:nvPicPr>
      <xdr:blipFill>
        <a:blip r:embed="rId69"/>
        <a:stretch>
          <a:fillRect/>
        </a:stretch>
      </xdr:blipFill>
      <xdr:spPr>
        <a:xfrm>
          <a:off x="2543175" y="353717860"/>
          <a:ext cx="855345" cy="855345"/>
        </a:xfrm>
        <a:prstGeom prst="rect">
          <a:avLst/>
        </a:prstGeom>
        <a:noFill/>
        <a:ln w="9525">
          <a:noFill/>
        </a:ln>
      </xdr:spPr>
    </xdr:pic>
  </etc:cellImage>
  <etc:cellImage>
    <xdr:pic>
      <xdr:nvPicPr>
        <xdr:cNvPr id="178" name="ID_7BFC56F4A86542D7B7F3D117DB67D530" descr="ZNN{H9G6X9VV`0S4FIBFJ}3"/>
        <xdr:cNvPicPr>
          <a:picLocks noChangeAspect="1"/>
        </xdr:cNvPicPr>
      </xdr:nvPicPr>
      <xdr:blipFill>
        <a:blip r:embed="rId70"/>
        <a:stretch>
          <a:fillRect/>
        </a:stretch>
      </xdr:blipFill>
      <xdr:spPr>
        <a:xfrm>
          <a:off x="1744345" y="355761290"/>
          <a:ext cx="1472565" cy="805180"/>
        </a:xfrm>
        <a:prstGeom prst="rect">
          <a:avLst/>
        </a:prstGeom>
        <a:noFill/>
        <a:ln w="9525">
          <a:noFill/>
        </a:ln>
      </xdr:spPr>
    </xdr:pic>
  </etc:cellImage>
  <etc:cellImage>
    <xdr:pic>
      <xdr:nvPicPr>
        <xdr:cNvPr id="177" name="ID_BC53B4001AB64F05AB5A513F7BB20A0C" descr="R%9@OY(FOOQJXAE67{A[N_D"/>
        <xdr:cNvPicPr>
          <a:picLocks noChangeAspect="1"/>
        </xdr:cNvPicPr>
      </xdr:nvPicPr>
      <xdr:blipFill>
        <a:blip r:embed="rId71"/>
        <a:stretch>
          <a:fillRect/>
        </a:stretch>
      </xdr:blipFill>
      <xdr:spPr>
        <a:xfrm>
          <a:off x="2165350" y="354771960"/>
          <a:ext cx="729615" cy="745490"/>
        </a:xfrm>
        <a:prstGeom prst="rect">
          <a:avLst/>
        </a:prstGeom>
        <a:noFill/>
        <a:ln w="9525">
          <a:noFill/>
        </a:ln>
      </xdr:spPr>
    </xdr:pic>
  </etc:cellImage>
  <etc:cellImage>
    <xdr:pic>
      <xdr:nvPicPr>
        <xdr:cNvPr id="179" name="ID_B9B9CB424A0940A4ADDDFB998E56FF1F" descr="]$KQWJ_DZPX5G2)%7GZ_7(R"/>
        <xdr:cNvPicPr>
          <a:picLocks noChangeAspect="1"/>
        </xdr:cNvPicPr>
      </xdr:nvPicPr>
      <xdr:blipFill>
        <a:blip r:embed="rId72"/>
        <a:stretch>
          <a:fillRect/>
        </a:stretch>
      </xdr:blipFill>
      <xdr:spPr>
        <a:xfrm>
          <a:off x="1661160" y="356967790"/>
          <a:ext cx="915670" cy="414020"/>
        </a:xfrm>
        <a:prstGeom prst="rect">
          <a:avLst/>
        </a:prstGeom>
        <a:noFill/>
        <a:ln w="9525">
          <a:noFill/>
        </a:ln>
      </xdr:spPr>
    </xdr:pic>
  </etc:cellImage>
  <etc:cellImage>
    <xdr:pic>
      <xdr:nvPicPr>
        <xdr:cNvPr id="181" name="ID_3C71DB95F89C40C9A33FDD331BCD46BA" descr="XT_S]ZX206UQ2O8V2R9{K3K"/>
        <xdr:cNvPicPr>
          <a:picLocks noChangeAspect="1"/>
        </xdr:cNvPicPr>
      </xdr:nvPicPr>
      <xdr:blipFill>
        <a:blip r:embed="rId73"/>
        <a:stretch>
          <a:fillRect/>
        </a:stretch>
      </xdr:blipFill>
      <xdr:spPr>
        <a:xfrm>
          <a:off x="1974215" y="357969820"/>
          <a:ext cx="1158240" cy="770255"/>
        </a:xfrm>
        <a:prstGeom prst="rect">
          <a:avLst/>
        </a:prstGeom>
        <a:noFill/>
        <a:ln w="9525">
          <a:noFill/>
        </a:ln>
      </xdr:spPr>
    </xdr:pic>
  </etc:cellImage>
  <etc:cellImage>
    <xdr:pic>
      <xdr:nvPicPr>
        <xdr:cNvPr id="182" name="ID_C18F3C1FAF9F4B5893FD81A7C5BD455A" descr="TM2_PSK2IH0Z]X`G`DBXB}4"/>
        <xdr:cNvPicPr>
          <a:picLocks noChangeAspect="1"/>
        </xdr:cNvPicPr>
      </xdr:nvPicPr>
      <xdr:blipFill>
        <a:blip r:embed="rId74"/>
        <a:stretch>
          <a:fillRect/>
        </a:stretch>
      </xdr:blipFill>
      <xdr:spPr>
        <a:xfrm>
          <a:off x="1607185" y="358687370"/>
          <a:ext cx="963930" cy="1570990"/>
        </a:xfrm>
        <a:prstGeom prst="rect">
          <a:avLst/>
        </a:prstGeom>
        <a:noFill/>
        <a:ln w="9525">
          <a:noFill/>
        </a:ln>
      </xdr:spPr>
    </xdr:pic>
  </etc:cellImage>
  <etc:cellImage>
    <xdr:pic>
      <xdr:nvPicPr>
        <xdr:cNvPr id="13" name="ID_5A7BB4851CC043BEBDCE669CDC97F160" descr="J@RU[@{MROOD(Q27`XN)@GR"/>
        <xdr:cNvPicPr>
          <a:picLocks noChangeAspect="1"/>
        </xdr:cNvPicPr>
      </xdr:nvPicPr>
      <xdr:blipFill>
        <a:blip r:embed="rId75"/>
        <a:stretch>
          <a:fillRect/>
        </a:stretch>
      </xdr:blipFill>
      <xdr:spPr>
        <a:xfrm>
          <a:off x="1842770" y="359856405"/>
          <a:ext cx="1659255" cy="779145"/>
        </a:xfrm>
        <a:prstGeom prst="rect">
          <a:avLst/>
        </a:prstGeom>
        <a:noFill/>
        <a:ln w="9525">
          <a:noFill/>
        </a:ln>
      </xdr:spPr>
    </xdr:pic>
  </etc:cellImage>
  <etc:cellImage>
    <xdr:pic>
      <xdr:nvPicPr>
        <xdr:cNvPr id="184" name="ID_7C45B6BD5A374500ACB49B0747A7051D" descr="GO}IL_KKR`GF@AR@T~2(G3C"/>
        <xdr:cNvPicPr>
          <a:picLocks noChangeAspect="1"/>
        </xdr:cNvPicPr>
      </xdr:nvPicPr>
      <xdr:blipFill>
        <a:blip r:embed="rId76"/>
        <a:stretch>
          <a:fillRect/>
        </a:stretch>
      </xdr:blipFill>
      <xdr:spPr>
        <a:xfrm>
          <a:off x="1468755" y="361707430"/>
          <a:ext cx="743585" cy="2213610"/>
        </a:xfrm>
        <a:prstGeom prst="rect">
          <a:avLst/>
        </a:prstGeom>
        <a:noFill/>
        <a:ln w="9525">
          <a:noFill/>
        </a:ln>
      </xdr:spPr>
    </xdr:pic>
  </etc:cellImage>
  <etc:cellImage>
    <xdr:pic>
      <xdr:nvPicPr>
        <xdr:cNvPr id="185" name="ID_A2361A16A27D48719AB112E970E96318" descr="{TZO70IEFZCM@[~03}92THD"/>
        <xdr:cNvPicPr>
          <a:picLocks noChangeAspect="1"/>
        </xdr:cNvPicPr>
      </xdr:nvPicPr>
      <xdr:blipFill>
        <a:blip r:embed="rId77"/>
        <a:stretch>
          <a:fillRect/>
        </a:stretch>
      </xdr:blipFill>
      <xdr:spPr>
        <a:xfrm>
          <a:off x="1468755" y="360691430"/>
          <a:ext cx="1330960" cy="1104265"/>
        </a:xfrm>
        <a:prstGeom prst="rect">
          <a:avLst/>
        </a:prstGeom>
        <a:noFill/>
        <a:ln w="9525">
          <a:noFill/>
        </a:ln>
      </xdr:spPr>
    </xdr:pic>
  </etc:cellImage>
  <etc:cellImage>
    <xdr:pic>
      <xdr:nvPicPr>
        <xdr:cNvPr id="186" name="ID_D78C664A51B64EDFA6C847991B6EC66E" descr="(JKZQ))BWI~Q316WINH~MMJ"/>
        <xdr:cNvPicPr>
          <a:picLocks noChangeAspect="1"/>
        </xdr:cNvPicPr>
      </xdr:nvPicPr>
      <xdr:blipFill>
        <a:blip r:embed="rId78"/>
        <a:stretch>
          <a:fillRect/>
        </a:stretch>
      </xdr:blipFill>
      <xdr:spPr>
        <a:xfrm>
          <a:off x="1771650" y="362858685"/>
          <a:ext cx="1491615" cy="851535"/>
        </a:xfrm>
        <a:prstGeom prst="rect">
          <a:avLst/>
        </a:prstGeom>
        <a:noFill/>
        <a:ln w="9525">
          <a:noFill/>
        </a:ln>
      </xdr:spPr>
    </xdr:pic>
  </etc:cellImage>
  <etc:cellImage>
    <xdr:pic>
      <xdr:nvPicPr>
        <xdr:cNvPr id="187" name="ID_A8ED3BB695D34938978FC8955245C244" descr="C[BB8FH%NX({]C6S`E2WN)L"/>
        <xdr:cNvPicPr>
          <a:picLocks noChangeAspect="1"/>
        </xdr:cNvPicPr>
      </xdr:nvPicPr>
      <xdr:blipFill>
        <a:blip r:embed="rId79"/>
        <a:stretch>
          <a:fillRect/>
        </a:stretch>
      </xdr:blipFill>
      <xdr:spPr>
        <a:xfrm>
          <a:off x="1906905" y="363819440"/>
          <a:ext cx="1115060" cy="1033145"/>
        </a:xfrm>
        <a:prstGeom prst="rect">
          <a:avLst/>
        </a:prstGeom>
        <a:noFill/>
        <a:ln w="9525">
          <a:noFill/>
        </a:ln>
      </xdr:spPr>
    </xdr:pic>
  </etc:cellImage>
  <etc:cellImage>
    <xdr:pic>
      <xdr:nvPicPr>
        <xdr:cNvPr id="188" name="ID_5FF8325A804446FAB6718C67535AA7E5" descr="5$SVSG9JMTO$R$$1KLI0FSP"/>
        <xdr:cNvPicPr>
          <a:picLocks noChangeAspect="1"/>
        </xdr:cNvPicPr>
      </xdr:nvPicPr>
      <xdr:blipFill>
        <a:blip r:embed="rId80"/>
        <a:stretch>
          <a:fillRect/>
        </a:stretch>
      </xdr:blipFill>
      <xdr:spPr>
        <a:xfrm>
          <a:off x="1689735" y="364958630"/>
          <a:ext cx="1671320" cy="668655"/>
        </a:xfrm>
        <a:prstGeom prst="rect">
          <a:avLst/>
        </a:prstGeom>
        <a:noFill/>
        <a:ln w="9525">
          <a:noFill/>
        </a:ln>
      </xdr:spPr>
    </xdr:pic>
  </etc:cellImage>
  <etc:cellImage>
    <xdr:pic>
      <xdr:nvPicPr>
        <xdr:cNvPr id="189" name="ID_1AD894C32C454B36A3E11154388194EE" descr="EFVNF7W~`{D$BAT8NEW3RG5"/>
        <xdr:cNvPicPr>
          <a:picLocks noChangeAspect="1"/>
        </xdr:cNvPicPr>
      </xdr:nvPicPr>
      <xdr:blipFill>
        <a:blip r:embed="rId81"/>
        <a:stretch>
          <a:fillRect/>
        </a:stretch>
      </xdr:blipFill>
      <xdr:spPr>
        <a:xfrm>
          <a:off x="1468755" y="365771430"/>
          <a:ext cx="2124710" cy="606425"/>
        </a:xfrm>
        <a:prstGeom prst="rect">
          <a:avLst/>
        </a:prstGeom>
        <a:noFill/>
        <a:ln w="9525">
          <a:noFill/>
        </a:ln>
      </xdr:spPr>
    </xdr:pic>
  </etc:cellImage>
  <etc:cellImage>
    <xdr:pic>
      <xdr:nvPicPr>
        <xdr:cNvPr id="190" name="ID_3ABDBEDB90E2481E8501540AF6FB0646" descr="%YF9U4ILV73ENCW]9{C$6NP"/>
        <xdr:cNvPicPr>
          <a:picLocks noChangeAspect="1"/>
        </xdr:cNvPicPr>
      </xdr:nvPicPr>
      <xdr:blipFill>
        <a:blip r:embed="rId82"/>
        <a:stretch>
          <a:fillRect/>
        </a:stretch>
      </xdr:blipFill>
      <xdr:spPr>
        <a:xfrm>
          <a:off x="1468755" y="366787430"/>
          <a:ext cx="1451610" cy="850265"/>
        </a:xfrm>
        <a:prstGeom prst="rect">
          <a:avLst/>
        </a:prstGeom>
        <a:noFill/>
        <a:ln w="9525">
          <a:noFill/>
        </a:ln>
      </xdr:spPr>
    </xdr:pic>
  </etc:cellImage>
  <etc:cellImage>
    <xdr:pic>
      <xdr:nvPicPr>
        <xdr:cNvPr id="17" name="ID_2BFABCB8BE0F42E4A1E9EC9559E522A8"/>
        <xdr:cNvPicPr>
          <a:picLocks noChangeAspect="1"/>
        </xdr:cNvPicPr>
      </xdr:nvPicPr>
      <xdr:blipFill>
        <a:blip r:embed="rId83"/>
        <a:stretch>
          <a:fillRect/>
        </a:stretch>
      </xdr:blipFill>
      <xdr:spPr>
        <a:xfrm>
          <a:off x="1729105" y="371118130"/>
          <a:ext cx="1631950" cy="544830"/>
        </a:xfrm>
        <a:prstGeom prst="rect">
          <a:avLst/>
        </a:prstGeom>
        <a:noFill/>
        <a:ln w="9525">
          <a:noFill/>
        </a:ln>
      </xdr:spPr>
    </xdr:pic>
  </etc:cellImage>
  <etc:cellImage>
    <xdr:pic>
      <xdr:nvPicPr>
        <xdr:cNvPr id="18" name="ID_88338D0B3C33474EB567919545FD5ECA"/>
        <xdr:cNvPicPr>
          <a:picLocks noChangeAspect="1"/>
        </xdr:cNvPicPr>
      </xdr:nvPicPr>
      <xdr:blipFill>
        <a:blip r:embed="rId84"/>
        <a:stretch>
          <a:fillRect/>
        </a:stretch>
      </xdr:blipFill>
      <xdr:spPr>
        <a:xfrm>
          <a:off x="1941830" y="369843685"/>
          <a:ext cx="753745" cy="1054735"/>
        </a:xfrm>
        <a:prstGeom prst="rect">
          <a:avLst/>
        </a:prstGeom>
        <a:noFill/>
        <a:ln w="9525">
          <a:noFill/>
        </a:ln>
      </xdr:spPr>
    </xdr:pic>
  </etc:cellImage>
  <etc:cellImage>
    <xdr:pic>
      <xdr:nvPicPr>
        <xdr:cNvPr id="19" name="ID_2A47061D548C4DA7BD83B9AC57B942B6" descr="X7OVTNAPGI~TZ%FZ74Y(6R7"/>
        <xdr:cNvPicPr>
          <a:picLocks noChangeAspect="1"/>
        </xdr:cNvPicPr>
      </xdr:nvPicPr>
      <xdr:blipFill>
        <a:blip r:embed="rId85"/>
        <a:stretch>
          <a:fillRect/>
        </a:stretch>
      </xdr:blipFill>
      <xdr:spPr>
        <a:xfrm>
          <a:off x="1704340" y="368920395"/>
          <a:ext cx="1243965" cy="811530"/>
        </a:xfrm>
        <a:prstGeom prst="rect">
          <a:avLst/>
        </a:prstGeom>
        <a:noFill/>
        <a:ln w="9525">
          <a:noFill/>
        </a:ln>
      </xdr:spPr>
    </xdr:pic>
  </etc:cellImage>
  <etc:cellImage>
    <xdr:pic>
      <xdr:nvPicPr>
        <xdr:cNvPr id="194" name="ID_E6DD2E9C98534706BA2EE55C22C2ECB7"/>
        <xdr:cNvPicPr>
          <a:picLocks noChangeAspect="1"/>
        </xdr:cNvPicPr>
      </xdr:nvPicPr>
      <xdr:blipFill>
        <a:blip r:embed="rId86"/>
        <a:stretch>
          <a:fillRect/>
        </a:stretch>
      </xdr:blipFill>
      <xdr:spPr>
        <a:xfrm>
          <a:off x="1658620" y="372936770"/>
          <a:ext cx="2063115" cy="840740"/>
        </a:xfrm>
        <a:prstGeom prst="rect">
          <a:avLst/>
        </a:prstGeom>
        <a:noFill/>
        <a:ln w="9525">
          <a:noFill/>
        </a:ln>
      </xdr:spPr>
    </xdr:pic>
  </etc:cellImage>
  <etc:cellImage>
    <xdr:pic>
      <xdr:nvPicPr>
        <xdr:cNvPr id="196" name="ID_8D98838CCB7C44698F2D63DBC07E5E28"/>
        <xdr:cNvPicPr>
          <a:picLocks noChangeAspect="1"/>
        </xdr:cNvPicPr>
      </xdr:nvPicPr>
      <xdr:blipFill>
        <a:blip r:embed="rId87"/>
        <a:stretch>
          <a:fillRect/>
        </a:stretch>
      </xdr:blipFill>
      <xdr:spPr>
        <a:xfrm>
          <a:off x="1764665" y="375136410"/>
          <a:ext cx="1111250" cy="561975"/>
        </a:xfrm>
        <a:prstGeom prst="rect">
          <a:avLst/>
        </a:prstGeom>
        <a:noFill/>
        <a:ln w="9525">
          <a:noFill/>
        </a:ln>
      </xdr:spPr>
    </xdr:pic>
  </etc:cellImage>
  <etc:cellImage>
    <xdr:pic>
      <xdr:nvPicPr>
        <xdr:cNvPr id="197" name="ID_035DA8E086144C04B29A7189685B3244"/>
        <xdr:cNvPicPr>
          <a:picLocks noChangeAspect="1"/>
        </xdr:cNvPicPr>
      </xdr:nvPicPr>
      <xdr:blipFill>
        <a:blip r:embed="rId88"/>
        <a:stretch>
          <a:fillRect/>
        </a:stretch>
      </xdr:blipFill>
      <xdr:spPr>
        <a:xfrm>
          <a:off x="1818640" y="371913150"/>
          <a:ext cx="1358265" cy="917575"/>
        </a:xfrm>
        <a:prstGeom prst="rect">
          <a:avLst/>
        </a:prstGeom>
        <a:noFill/>
        <a:ln w="9525">
          <a:noFill/>
        </a:ln>
      </xdr:spPr>
    </xdr:pic>
  </etc:cellImage>
  <etc:cellImage>
    <xdr:pic>
      <xdr:nvPicPr>
        <xdr:cNvPr id="20" name="ID_D7A127F6580B4A80A2C230E6E7E2401A" descr="d95dd64ae68b605e0c9597a653182f0"/>
        <xdr:cNvPicPr>
          <a:picLocks noChangeAspect="1"/>
        </xdr:cNvPicPr>
      </xdr:nvPicPr>
      <xdr:blipFill>
        <a:blip r:embed="rId89"/>
        <a:stretch>
          <a:fillRect/>
        </a:stretch>
      </xdr:blipFill>
      <xdr:spPr>
        <a:xfrm>
          <a:off x="2207895" y="376062875"/>
          <a:ext cx="882015" cy="1223645"/>
        </a:xfrm>
        <a:prstGeom prst="rect">
          <a:avLst/>
        </a:prstGeom>
        <a:noFill/>
        <a:ln w="9525">
          <a:noFill/>
        </a:ln>
      </xdr:spPr>
    </xdr:pic>
  </etc:cellImage>
  <etc:cellImage>
    <xdr:pic>
      <xdr:nvPicPr>
        <xdr:cNvPr id="21" name="ID_8AD157926BA843CA8B0F438C52FB7790" descr="22"/>
        <xdr:cNvPicPr>
          <a:picLocks noChangeAspect="1"/>
        </xdr:cNvPicPr>
      </xdr:nvPicPr>
      <xdr:blipFill>
        <a:blip r:embed="rId90"/>
        <a:stretch>
          <a:fillRect/>
        </a:stretch>
      </xdr:blipFill>
      <xdr:spPr>
        <a:xfrm>
          <a:off x="1744345" y="377161425"/>
          <a:ext cx="1344930" cy="1195070"/>
        </a:xfrm>
        <a:prstGeom prst="rect">
          <a:avLst/>
        </a:prstGeom>
        <a:noFill/>
        <a:ln w="9525">
          <a:noFill/>
        </a:ln>
      </xdr:spPr>
    </xdr:pic>
  </etc:cellImage>
  <etc:cellImage>
    <xdr:pic>
      <xdr:nvPicPr>
        <xdr:cNvPr id="22" name="ID_97C7EBCB92974F8FBF4E948FF0D6E204" descr="0e7917db978303248a5823f2838c701"/>
        <xdr:cNvPicPr>
          <a:picLocks noChangeAspect="1"/>
        </xdr:cNvPicPr>
      </xdr:nvPicPr>
      <xdr:blipFill>
        <a:blip r:embed="rId91"/>
        <a:stretch>
          <a:fillRect/>
        </a:stretch>
      </xdr:blipFill>
      <xdr:spPr>
        <a:xfrm>
          <a:off x="2016125" y="378174885"/>
          <a:ext cx="871220" cy="706120"/>
        </a:xfrm>
        <a:prstGeom prst="rect">
          <a:avLst/>
        </a:prstGeom>
        <a:noFill/>
        <a:ln w="9525">
          <a:noFill/>
        </a:ln>
      </xdr:spPr>
    </xdr:pic>
  </etc:cellImage>
  <etc:cellImage>
    <xdr:pic>
      <xdr:nvPicPr>
        <xdr:cNvPr id="202" name="ID_B2AD3605551840B49D133A82291CEA14" descr="dc974b6f332470cf028dae92fd69a14"/>
        <xdr:cNvPicPr>
          <a:picLocks noChangeAspect="1"/>
        </xdr:cNvPicPr>
      </xdr:nvPicPr>
      <xdr:blipFill>
        <a:blip r:embed="rId92"/>
        <a:stretch>
          <a:fillRect/>
        </a:stretch>
      </xdr:blipFill>
      <xdr:spPr>
        <a:xfrm>
          <a:off x="2273935" y="381119380"/>
          <a:ext cx="603885" cy="833120"/>
        </a:xfrm>
        <a:prstGeom prst="rect">
          <a:avLst/>
        </a:prstGeom>
        <a:noFill/>
        <a:ln w="9525">
          <a:noFill/>
        </a:ln>
      </xdr:spPr>
    </xdr:pic>
  </etc:cellImage>
  <etc:cellImage>
    <xdr:pic>
      <xdr:nvPicPr>
        <xdr:cNvPr id="23" name="ID_848CA32CA8824369903FFF2D852748FB" descr="0RICK588QBLK1%}_`I(L22W"/>
        <xdr:cNvPicPr>
          <a:picLocks noChangeAspect="1"/>
        </xdr:cNvPicPr>
      </xdr:nvPicPr>
      <xdr:blipFill>
        <a:blip r:embed="rId93"/>
        <a:stretch>
          <a:fillRect/>
        </a:stretch>
      </xdr:blipFill>
      <xdr:spPr>
        <a:xfrm>
          <a:off x="1689735" y="382068070"/>
          <a:ext cx="1437005" cy="1096010"/>
        </a:xfrm>
        <a:prstGeom prst="rect">
          <a:avLst/>
        </a:prstGeom>
        <a:noFill/>
        <a:ln w="9525">
          <a:noFill/>
        </a:ln>
      </xdr:spPr>
    </xdr:pic>
  </etc:cellImage>
  <etc:cellImage>
    <xdr:pic>
      <xdr:nvPicPr>
        <xdr:cNvPr id="24" name="ID_227B2D7D0AE646D286A485A050219B6D" descr="3eaf034fd3b42687ec06434f58d0fd1"/>
        <xdr:cNvPicPr>
          <a:picLocks noChangeAspect="1"/>
        </xdr:cNvPicPr>
      </xdr:nvPicPr>
      <xdr:blipFill>
        <a:blip r:embed="rId94"/>
        <a:stretch>
          <a:fillRect/>
        </a:stretch>
      </xdr:blipFill>
      <xdr:spPr>
        <a:xfrm>
          <a:off x="2383790" y="383098040"/>
          <a:ext cx="523875" cy="1066800"/>
        </a:xfrm>
        <a:prstGeom prst="rect">
          <a:avLst/>
        </a:prstGeom>
        <a:noFill/>
        <a:ln w="9525">
          <a:noFill/>
        </a:ln>
      </xdr:spPr>
    </xdr:pic>
  </etc:cellImage>
  <etc:cellImage>
    <xdr:pic>
      <xdr:nvPicPr>
        <xdr:cNvPr id="25" name="ID_2CE962548BB1481EBA8AB0D37A5D8A2A" descr="K34HBEU4%IM5BCRI42(NX20"/>
        <xdr:cNvPicPr>
          <a:picLocks noChangeAspect="1"/>
        </xdr:cNvPicPr>
      </xdr:nvPicPr>
      <xdr:blipFill>
        <a:blip r:embed="rId95"/>
        <a:stretch>
          <a:fillRect/>
        </a:stretch>
      </xdr:blipFill>
      <xdr:spPr>
        <a:xfrm>
          <a:off x="1514475" y="384504565"/>
          <a:ext cx="2136775" cy="589915"/>
        </a:xfrm>
        <a:prstGeom prst="rect">
          <a:avLst/>
        </a:prstGeom>
        <a:noFill/>
        <a:ln w="9525">
          <a:noFill/>
        </a:ln>
      </xdr:spPr>
    </xdr:pic>
  </etc:cellImage>
  <etc:cellImage>
    <xdr:pic>
      <xdr:nvPicPr>
        <xdr:cNvPr id="54" name="ID_202DEE412DC2413C9484236AEDA15F40"/>
        <xdr:cNvPicPr>
          <a:picLocks noChangeAspect="1"/>
        </xdr:cNvPicPr>
      </xdr:nvPicPr>
      <xdr:blipFill>
        <a:blip r:embed="rId96"/>
        <a:stretch>
          <a:fillRect/>
        </a:stretch>
      </xdr:blipFill>
      <xdr:spPr>
        <a:xfrm>
          <a:off x="1553845" y="48318420"/>
          <a:ext cx="1355725" cy="1412240"/>
        </a:xfrm>
        <a:prstGeom prst="rect">
          <a:avLst/>
        </a:prstGeom>
        <a:noFill/>
        <a:ln w="9525">
          <a:noFill/>
        </a:ln>
      </xdr:spPr>
    </xdr:pic>
  </etc:cellImage>
  <etc:cellImage>
    <xdr:pic>
      <xdr:nvPicPr>
        <xdr:cNvPr id="53" name="ID_87E4F8C956E74267AE766A0FECBA9ECB"/>
        <xdr:cNvPicPr>
          <a:picLocks noChangeAspect="1"/>
        </xdr:cNvPicPr>
      </xdr:nvPicPr>
      <xdr:blipFill>
        <a:blip r:embed="rId97"/>
        <a:stretch>
          <a:fillRect/>
        </a:stretch>
      </xdr:blipFill>
      <xdr:spPr>
        <a:xfrm>
          <a:off x="1500505" y="36541710"/>
          <a:ext cx="1400175" cy="1214120"/>
        </a:xfrm>
        <a:prstGeom prst="rect">
          <a:avLst/>
        </a:prstGeom>
        <a:noFill/>
        <a:ln w="9525">
          <a:noFill/>
        </a:ln>
      </xdr:spPr>
    </xdr:pic>
  </etc:cellImage>
  <etc:cellImage>
    <xdr:pic>
      <xdr:nvPicPr>
        <xdr:cNvPr id="27" name="ID_96079F49E8604A2CBF7830AEAB15517D"/>
        <xdr:cNvPicPr>
          <a:picLocks noChangeAspect="1"/>
        </xdr:cNvPicPr>
      </xdr:nvPicPr>
      <xdr:blipFill>
        <a:blip r:embed="rId98"/>
        <a:stretch>
          <a:fillRect/>
        </a:stretch>
      </xdr:blipFill>
      <xdr:spPr>
        <a:xfrm>
          <a:off x="1718310" y="5847715"/>
          <a:ext cx="1024255" cy="502920"/>
        </a:xfrm>
        <a:prstGeom prst="rect">
          <a:avLst/>
        </a:prstGeom>
      </xdr:spPr>
    </xdr:pic>
  </etc:cellImage>
  <etc:cellImage>
    <xdr:pic>
      <xdr:nvPicPr>
        <xdr:cNvPr id="47" name="ID_F748EB1B90E84DF884E3394EECB5868D" descr="22a514c93bec96be33d2369dbcfa05a"/>
        <xdr:cNvPicPr>
          <a:picLocks noChangeAspect="1"/>
        </xdr:cNvPicPr>
      </xdr:nvPicPr>
      <xdr:blipFill>
        <a:blip r:embed="rId99"/>
        <a:srcRect l="8093" t="18270" r="3936" b="8394"/>
        <a:stretch>
          <a:fillRect/>
        </a:stretch>
      </xdr:blipFill>
      <xdr:spPr>
        <a:xfrm flipH="1">
          <a:off x="1612265" y="3533775"/>
          <a:ext cx="1153160" cy="982345"/>
        </a:xfrm>
        <a:prstGeom prst="rect">
          <a:avLst/>
        </a:prstGeom>
      </xdr:spPr>
    </xdr:pic>
  </etc:cellImage>
  <etc:cellImage>
    <xdr:pic>
      <xdr:nvPicPr>
        <xdr:cNvPr id="28" name="ID_4A3953294A4E4C7594E3C4CA940F7C55"/>
        <xdr:cNvPicPr>
          <a:picLocks noChangeAspect="1"/>
        </xdr:cNvPicPr>
      </xdr:nvPicPr>
      <xdr:blipFill>
        <a:blip r:embed="rId100"/>
        <a:stretch>
          <a:fillRect/>
        </a:stretch>
      </xdr:blipFill>
      <xdr:spPr>
        <a:xfrm>
          <a:off x="1611630" y="20216495"/>
          <a:ext cx="1238885" cy="1236980"/>
        </a:xfrm>
        <a:prstGeom prst="rect">
          <a:avLst/>
        </a:prstGeom>
        <a:noFill/>
        <a:ln w="9525">
          <a:noFill/>
        </a:ln>
      </xdr:spPr>
    </xdr:pic>
  </etc:cellImage>
  <etc:cellImage>
    <xdr:pic>
      <xdr:nvPicPr>
        <xdr:cNvPr id="29" name="ID_CF4C9EC069114451B3163C6EC3286C25" descr="办公桌-12"/>
        <xdr:cNvPicPr>
          <a:picLocks noChangeAspect="1"/>
        </xdr:cNvPicPr>
      </xdr:nvPicPr>
      <xdr:blipFill>
        <a:blip r:embed="rId101"/>
        <a:stretch>
          <a:fillRect/>
        </a:stretch>
      </xdr:blipFill>
      <xdr:spPr>
        <a:xfrm>
          <a:off x="1511300" y="25249505"/>
          <a:ext cx="1372235" cy="1013460"/>
        </a:xfrm>
        <a:prstGeom prst="rect">
          <a:avLst/>
        </a:prstGeom>
      </xdr:spPr>
    </xdr:pic>
  </etc:cellImage>
  <etc:cellImage>
    <xdr:pic>
      <xdr:nvPicPr>
        <xdr:cNvPr id="30" name="ID_5A16553EBA4C4046AB63A50237374D1D"/>
        <xdr:cNvPicPr>
          <a:picLocks noChangeAspect="1"/>
        </xdr:cNvPicPr>
      </xdr:nvPicPr>
      <xdr:blipFill>
        <a:blip r:embed="rId102"/>
        <a:stretch>
          <a:fillRect/>
        </a:stretch>
      </xdr:blipFill>
      <xdr:spPr>
        <a:xfrm>
          <a:off x="1731645" y="28046045"/>
          <a:ext cx="861060" cy="1175385"/>
        </a:xfrm>
        <a:prstGeom prst="rect">
          <a:avLst/>
        </a:prstGeom>
      </xdr:spPr>
    </xdr:pic>
  </etc:cellImage>
  <etc:cellImage>
    <xdr:pic>
      <xdr:nvPicPr>
        <xdr:cNvPr id="31" name="ID_0087FE873C48427B8847E8D8D5D2E2F0"/>
        <xdr:cNvPicPr>
          <a:picLocks noChangeAspect="1"/>
        </xdr:cNvPicPr>
      </xdr:nvPicPr>
      <xdr:blipFill>
        <a:blip r:embed="rId103"/>
        <a:stretch>
          <a:fillRect/>
        </a:stretch>
      </xdr:blipFill>
      <xdr:spPr>
        <a:xfrm>
          <a:off x="1629410" y="33388300"/>
          <a:ext cx="1135380" cy="527050"/>
        </a:xfrm>
        <a:prstGeom prst="rect">
          <a:avLst/>
        </a:prstGeom>
        <a:noFill/>
        <a:ln w="9525">
          <a:noFill/>
        </a:ln>
      </xdr:spPr>
    </xdr:pic>
  </etc:cellImage>
  <etc:cellImage>
    <xdr:pic>
      <xdr:nvPicPr>
        <xdr:cNvPr id="32" name="ID_5461C44476FD43029538D03D59F1CFC1"/>
        <xdr:cNvPicPr>
          <a:picLocks noChangeAspect="1"/>
        </xdr:cNvPicPr>
      </xdr:nvPicPr>
      <xdr:blipFill>
        <a:blip r:embed="rId104"/>
        <a:stretch>
          <a:fillRect/>
        </a:stretch>
      </xdr:blipFill>
      <xdr:spPr>
        <a:xfrm>
          <a:off x="1855470" y="34727515"/>
          <a:ext cx="660400" cy="1300480"/>
        </a:xfrm>
        <a:prstGeom prst="rect">
          <a:avLst/>
        </a:prstGeom>
        <a:noFill/>
        <a:ln w="9525">
          <a:noFill/>
        </a:ln>
      </xdr:spPr>
    </xdr:pic>
  </etc:cellImage>
  <etc:cellImage>
    <xdr:pic>
      <xdr:nvPicPr>
        <xdr:cNvPr id="52" name="ID_13B87BE2FF17443C9104532F5B07707E"/>
        <xdr:cNvPicPr>
          <a:picLocks noChangeAspect="1"/>
        </xdr:cNvPicPr>
      </xdr:nvPicPr>
      <xdr:blipFill>
        <a:blip r:embed="rId105"/>
        <a:stretch>
          <a:fillRect/>
        </a:stretch>
      </xdr:blipFill>
      <xdr:spPr>
        <a:xfrm>
          <a:off x="1741170" y="40304085"/>
          <a:ext cx="711200" cy="906145"/>
        </a:xfrm>
        <a:prstGeom prst="rect">
          <a:avLst/>
        </a:prstGeom>
      </xdr:spPr>
    </xdr:pic>
  </etc:cellImage>
  <etc:cellImage>
    <xdr:pic>
      <xdr:nvPicPr>
        <xdr:cNvPr id="51" name="ID_E0EEA125DCFD4C82A69EE1BB6284FFC4" descr="华亚家具-HY-2109-按摩床"/>
        <xdr:cNvPicPr>
          <a:picLocks noChangeAspect="1"/>
        </xdr:cNvPicPr>
      </xdr:nvPicPr>
      <xdr:blipFill>
        <a:blip r:embed="rId106"/>
        <a:stretch>
          <a:fillRect/>
        </a:stretch>
      </xdr:blipFill>
      <xdr:spPr>
        <a:xfrm>
          <a:off x="1504315" y="46370875"/>
          <a:ext cx="1349375" cy="759460"/>
        </a:xfrm>
        <a:prstGeom prst="rect">
          <a:avLst/>
        </a:prstGeom>
        <a:noFill/>
        <a:ln w="9525">
          <a:noFill/>
        </a:ln>
      </xdr:spPr>
    </xdr:pic>
  </etc:cellImage>
  <etc:cellImage>
    <xdr:pic>
      <xdr:nvPicPr>
        <xdr:cNvPr id="33" name="ID_707F6475AE9B4F3795AF652F7C9AA31D" descr="铜梁大庙敬老院-未命名 4-20220525-194511"/>
        <xdr:cNvPicPr>
          <a:picLocks noChangeAspect="1"/>
        </xdr:cNvPicPr>
      </xdr:nvPicPr>
      <xdr:blipFill>
        <a:blip r:embed="rId107"/>
        <a:srcRect l="22661" t="38122" r="29207"/>
        <a:stretch>
          <a:fillRect/>
        </a:stretch>
      </xdr:blipFill>
      <xdr:spPr>
        <a:xfrm>
          <a:off x="1551305" y="50667920"/>
          <a:ext cx="1310640" cy="1025525"/>
        </a:xfrm>
        <a:prstGeom prst="rect">
          <a:avLst/>
        </a:prstGeom>
      </xdr:spPr>
    </xdr:pic>
  </etc:cellImage>
  <etc:cellImage>
    <xdr:pic>
      <xdr:nvPicPr>
        <xdr:cNvPr id="34" name="ID_C1A49C2D5895476A8DFAE33F31D7FC7A"/>
        <xdr:cNvPicPr>
          <a:picLocks noChangeAspect="1"/>
        </xdr:cNvPicPr>
      </xdr:nvPicPr>
      <xdr:blipFill>
        <a:blip r:embed="rId108"/>
        <a:stretch>
          <a:fillRect/>
        </a:stretch>
      </xdr:blipFill>
      <xdr:spPr>
        <a:xfrm>
          <a:off x="1751965" y="53681630"/>
          <a:ext cx="775335" cy="993140"/>
        </a:xfrm>
        <a:prstGeom prst="rect">
          <a:avLst/>
        </a:prstGeom>
      </xdr:spPr>
    </xdr:pic>
  </etc:cellImage>
  <etc:cellImage>
    <xdr:pic>
      <xdr:nvPicPr>
        <xdr:cNvPr id="35" name="ID_23F0BF9A68D54E29A98A2D293F8C0DE8"/>
        <xdr:cNvPicPr>
          <a:picLocks noChangeAspect="1"/>
        </xdr:cNvPicPr>
      </xdr:nvPicPr>
      <xdr:blipFill>
        <a:blip r:embed="rId104"/>
        <a:stretch>
          <a:fillRect/>
        </a:stretch>
      </xdr:blipFill>
      <xdr:spPr>
        <a:xfrm>
          <a:off x="1817370" y="55895240"/>
          <a:ext cx="660400" cy="1300480"/>
        </a:xfrm>
        <a:prstGeom prst="rect">
          <a:avLst/>
        </a:prstGeom>
        <a:noFill/>
        <a:ln w="9525">
          <a:noFill/>
        </a:ln>
      </xdr:spPr>
    </xdr:pic>
  </etc:cellImage>
  <etc:cellImage>
    <xdr:pic>
      <xdr:nvPicPr>
        <xdr:cNvPr id="50" name="ID_419FCDE7276D4F179DC53B09EA71E3A3"/>
        <xdr:cNvPicPr>
          <a:picLocks noChangeAspect="1"/>
        </xdr:cNvPicPr>
      </xdr:nvPicPr>
      <xdr:blipFill>
        <a:blip r:embed="rId109"/>
        <a:stretch>
          <a:fillRect/>
        </a:stretch>
      </xdr:blipFill>
      <xdr:spPr>
        <a:xfrm>
          <a:off x="1491615" y="58794650"/>
          <a:ext cx="1408430" cy="796290"/>
        </a:xfrm>
        <a:prstGeom prst="rect">
          <a:avLst/>
        </a:prstGeom>
        <a:noFill/>
        <a:ln w="9525">
          <a:noFill/>
        </a:ln>
      </xdr:spPr>
    </xdr:pic>
  </etc:cellImage>
  <etc:cellImage>
    <xdr:pic>
      <xdr:nvPicPr>
        <xdr:cNvPr id="36" name="ID_E0A9841A6C6D4ECBBC367AE36F584011"/>
        <xdr:cNvPicPr>
          <a:picLocks noChangeAspect="1"/>
        </xdr:cNvPicPr>
      </xdr:nvPicPr>
      <xdr:blipFill>
        <a:blip r:embed="rId110"/>
        <a:stretch>
          <a:fillRect/>
        </a:stretch>
      </xdr:blipFill>
      <xdr:spPr>
        <a:xfrm>
          <a:off x="1658620" y="61347985"/>
          <a:ext cx="1060450" cy="1214755"/>
        </a:xfrm>
        <a:prstGeom prst="rect">
          <a:avLst/>
        </a:prstGeom>
        <a:noFill/>
        <a:ln w="9525">
          <a:noFill/>
        </a:ln>
      </xdr:spPr>
    </xdr:pic>
  </etc:cellImage>
  <etc:cellImage>
    <xdr:pic>
      <xdr:nvPicPr>
        <xdr:cNvPr id="37" name="ID_DB3C772423B34482877CC874656CE459"/>
        <xdr:cNvPicPr>
          <a:picLocks noChangeAspect="1"/>
        </xdr:cNvPicPr>
      </xdr:nvPicPr>
      <xdr:blipFill>
        <a:blip r:embed="rId111"/>
        <a:stretch>
          <a:fillRect/>
        </a:stretch>
      </xdr:blipFill>
      <xdr:spPr>
        <a:xfrm>
          <a:off x="1549400" y="63914020"/>
          <a:ext cx="1245870" cy="795655"/>
        </a:xfrm>
        <a:prstGeom prst="rect">
          <a:avLst/>
        </a:prstGeom>
        <a:noFill/>
        <a:ln w="9525">
          <a:noFill/>
        </a:ln>
      </xdr:spPr>
    </xdr:pic>
  </etc:cellImage>
  <etc:cellImage>
    <xdr:pic>
      <xdr:nvPicPr>
        <xdr:cNvPr id="44" name="ID_F796092CB2604843B7FF0BA66936968D"/>
        <xdr:cNvPicPr>
          <a:picLocks noChangeAspect="1"/>
        </xdr:cNvPicPr>
      </xdr:nvPicPr>
      <xdr:blipFill>
        <a:blip r:embed="rId104"/>
        <a:stretch>
          <a:fillRect/>
        </a:stretch>
      </xdr:blipFill>
      <xdr:spPr>
        <a:xfrm>
          <a:off x="1864995" y="65947290"/>
          <a:ext cx="660400" cy="1300480"/>
        </a:xfrm>
        <a:prstGeom prst="rect">
          <a:avLst/>
        </a:prstGeom>
        <a:noFill/>
        <a:ln w="9525">
          <a:noFill/>
        </a:ln>
      </xdr:spPr>
    </xdr:pic>
  </etc:cellImage>
  <etc:cellImage>
    <xdr:pic>
      <xdr:nvPicPr>
        <xdr:cNvPr id="39" name="ID_51CA88140B674774A03A155ADE68AB01"/>
        <xdr:cNvPicPr>
          <a:picLocks noChangeAspect="1"/>
        </xdr:cNvPicPr>
      </xdr:nvPicPr>
      <xdr:blipFill>
        <a:blip r:embed="rId103"/>
        <a:stretch>
          <a:fillRect/>
        </a:stretch>
      </xdr:blipFill>
      <xdr:spPr>
        <a:xfrm>
          <a:off x="1663065" y="69764910"/>
          <a:ext cx="1135380" cy="527050"/>
        </a:xfrm>
        <a:prstGeom prst="rect">
          <a:avLst/>
        </a:prstGeom>
        <a:noFill/>
        <a:ln w="9525">
          <a:noFill/>
        </a:ln>
      </xdr:spPr>
    </xdr:pic>
  </etc:cellImage>
  <etc:cellImage>
    <xdr:pic>
      <xdr:nvPicPr>
        <xdr:cNvPr id="41" name="ID_39B43E8132B342A59F76FF8138F9ACA2" descr="148c7929e9d131dab159976bb3a8e1f"/>
        <xdr:cNvPicPr>
          <a:picLocks noChangeAspect="1"/>
        </xdr:cNvPicPr>
      </xdr:nvPicPr>
      <xdr:blipFill>
        <a:blip r:embed="rId112"/>
        <a:srcRect l="2274" t="23927" r="77649" b="11675"/>
        <a:stretch>
          <a:fillRect/>
        </a:stretch>
      </xdr:blipFill>
      <xdr:spPr>
        <a:xfrm>
          <a:off x="1859915" y="71548625"/>
          <a:ext cx="673100" cy="1183005"/>
        </a:xfrm>
        <a:prstGeom prst="rect">
          <a:avLst/>
        </a:prstGeom>
      </xdr:spPr>
    </xdr:pic>
  </etc:cellImage>
  <etc:cellImage>
    <xdr:pic>
      <xdr:nvPicPr>
        <xdr:cNvPr id="42" name="ID_4E557578217C4EEA9AB46A08F6018EFC"/>
        <xdr:cNvPicPr>
          <a:picLocks noChangeAspect="1"/>
        </xdr:cNvPicPr>
      </xdr:nvPicPr>
      <xdr:blipFill>
        <a:blip r:embed="rId113"/>
        <a:srcRect l="25423" t="32805" r="32022" b="10255"/>
        <a:stretch>
          <a:fillRect/>
        </a:stretch>
      </xdr:blipFill>
      <xdr:spPr>
        <a:xfrm>
          <a:off x="1718945" y="75030965"/>
          <a:ext cx="979805" cy="901700"/>
        </a:xfrm>
        <a:prstGeom prst="rect">
          <a:avLst/>
        </a:prstGeom>
      </xdr:spPr>
    </xdr:pic>
  </etc:cellImage>
  <etc:cellImage>
    <xdr:pic>
      <xdr:nvPicPr>
        <xdr:cNvPr id="43" name="ID_DDE421BB2A7641BDB64B478834068648"/>
        <xdr:cNvPicPr>
          <a:picLocks noChangeAspect="1"/>
        </xdr:cNvPicPr>
      </xdr:nvPicPr>
      <xdr:blipFill>
        <a:blip r:embed="rId113"/>
        <a:srcRect l="47915" t="35579" r="14962" b="3559"/>
        <a:stretch>
          <a:fillRect/>
        </a:stretch>
      </xdr:blipFill>
      <xdr:spPr>
        <a:xfrm>
          <a:off x="1779270" y="78343760"/>
          <a:ext cx="805180" cy="909955"/>
        </a:xfrm>
        <a:prstGeom prst="rect">
          <a:avLst/>
        </a:prstGeom>
      </xdr:spPr>
    </xdr:pic>
  </etc:cellImage>
  <etc:cellImage>
    <xdr:pic>
      <xdr:nvPicPr>
        <xdr:cNvPr id="45" name="ID_DE0D7D9540E44675A4BD7724D81C20F1" descr="0e6081189742caf187d2a16f35fa290"/>
        <xdr:cNvPicPr>
          <a:picLocks noChangeAspect="1"/>
        </xdr:cNvPicPr>
      </xdr:nvPicPr>
      <xdr:blipFill>
        <a:blip r:embed="rId114"/>
        <a:stretch>
          <a:fillRect/>
        </a:stretch>
      </xdr:blipFill>
      <xdr:spPr>
        <a:xfrm>
          <a:off x="1525270" y="82062320"/>
          <a:ext cx="1336040" cy="622935"/>
        </a:xfrm>
        <a:prstGeom prst="rect">
          <a:avLst/>
        </a:prstGeom>
        <a:noFill/>
        <a:ln w="9525">
          <a:noFill/>
        </a:ln>
      </xdr:spPr>
    </xdr:pic>
  </etc:cellImage>
  <etc:cellImage>
    <xdr:pic>
      <xdr:nvPicPr>
        <xdr:cNvPr id="46" name="ID_CDEE695B193F4D28B14B13C60ECE63FE" descr="2f0d4e69c0b5c6284e1c158478a4d07"/>
        <xdr:cNvPicPr>
          <a:picLocks noChangeAspect="1"/>
        </xdr:cNvPicPr>
      </xdr:nvPicPr>
      <xdr:blipFill>
        <a:blip r:embed="rId115"/>
        <a:srcRect l="22870" t="12485" r="27354" b="10820"/>
        <a:stretch>
          <a:fillRect/>
        </a:stretch>
      </xdr:blipFill>
      <xdr:spPr>
        <a:xfrm>
          <a:off x="1714500" y="84704555"/>
          <a:ext cx="934085" cy="1018540"/>
        </a:xfrm>
        <a:prstGeom prst="rect">
          <a:avLst/>
        </a:prstGeom>
        <a:noFill/>
        <a:ln w="9525">
          <a:noFill/>
        </a:ln>
      </xdr:spPr>
    </xdr:pic>
  </etc:cellImage>
  <etc:cellImage>
    <xdr:pic>
      <xdr:nvPicPr>
        <xdr:cNvPr id="48" name="ID_C4FEF046DEB2450B8D45314B769D086C" descr="4d9ed7d7b4c772e6eb564b9d0e190aa"/>
        <xdr:cNvPicPr>
          <a:picLocks noChangeAspect="1"/>
        </xdr:cNvPicPr>
      </xdr:nvPicPr>
      <xdr:blipFill>
        <a:blip r:embed="rId116"/>
        <a:stretch>
          <a:fillRect/>
        </a:stretch>
      </xdr:blipFill>
      <xdr:spPr>
        <a:xfrm>
          <a:off x="1760220" y="86987380"/>
          <a:ext cx="888365" cy="873125"/>
        </a:xfrm>
        <a:prstGeom prst="rect">
          <a:avLst/>
        </a:prstGeom>
      </xdr:spPr>
    </xdr:pic>
  </etc:cellImage>
  <etc:cellImage>
    <xdr:pic>
      <xdr:nvPicPr>
        <xdr:cNvPr id="49" name="ID_3A4418FDD9F340CD896B6B3492C747FF" descr="C:\Users\ADMINI~1\AppData\Local\Temp\ksohtml\clip_image169853.png"/>
        <xdr:cNvPicPr>
          <a:picLocks noChangeAspect="1"/>
        </xdr:cNvPicPr>
      </xdr:nvPicPr>
      <xdr:blipFill>
        <a:blip r:embed="rId117"/>
        <a:srcRect r="5394"/>
        <a:stretch>
          <a:fillRect/>
        </a:stretch>
      </xdr:blipFill>
      <xdr:spPr>
        <a:xfrm>
          <a:off x="1607820" y="88962230"/>
          <a:ext cx="1169035" cy="1123950"/>
        </a:xfrm>
        <a:prstGeom prst="rect">
          <a:avLst/>
        </a:prstGeom>
        <a:noFill/>
        <a:ln w="9525">
          <a:noFill/>
        </a:ln>
      </xdr:spPr>
    </xdr:pic>
  </etc:cellImage>
  <etc:cellImage>
    <xdr:pic>
      <xdr:nvPicPr>
        <xdr:cNvPr id="70" name="ID_F8079901EAB448429204BC54351DE494"/>
        <xdr:cNvPicPr>
          <a:picLocks noChangeAspect="1"/>
        </xdr:cNvPicPr>
      </xdr:nvPicPr>
      <xdr:blipFill>
        <a:blip r:embed="rId118"/>
        <a:srcRect l="20120" t="7022" r="23980" b="6981"/>
        <a:stretch>
          <a:fillRect/>
        </a:stretch>
      </xdr:blipFill>
      <xdr:spPr>
        <a:xfrm>
          <a:off x="1565910" y="91586050"/>
          <a:ext cx="1296670" cy="1322070"/>
        </a:xfrm>
        <a:prstGeom prst="rect">
          <a:avLst/>
        </a:prstGeom>
      </xdr:spPr>
    </xdr:pic>
  </etc:cellImage>
  <etc:cellImage>
    <xdr:pic>
      <xdr:nvPicPr>
        <xdr:cNvPr id="71" name="ID_F0B73C80A43649FA851F288C37815257"/>
        <xdr:cNvPicPr>
          <a:picLocks noChangeAspect="1"/>
        </xdr:cNvPicPr>
      </xdr:nvPicPr>
      <xdr:blipFill>
        <a:blip r:embed="rId105"/>
        <a:stretch>
          <a:fillRect/>
        </a:stretch>
      </xdr:blipFill>
      <xdr:spPr>
        <a:xfrm>
          <a:off x="1807845" y="95333185"/>
          <a:ext cx="711200" cy="906145"/>
        </a:xfrm>
        <a:prstGeom prst="rect">
          <a:avLst/>
        </a:prstGeom>
      </xdr:spPr>
    </xdr:pic>
  </etc:cellImage>
  <etc:cellImage>
    <xdr:pic>
      <xdr:nvPicPr>
        <xdr:cNvPr id="72" name="ID_6AC4DE45CE954066963AEF00DFBFD578" descr="4b913854e81cfc41d2db7b93acb8a61"/>
        <xdr:cNvPicPr>
          <a:picLocks noChangeAspect="1"/>
        </xdr:cNvPicPr>
      </xdr:nvPicPr>
      <xdr:blipFill>
        <a:blip r:embed="rId119"/>
        <a:stretch>
          <a:fillRect/>
        </a:stretch>
      </xdr:blipFill>
      <xdr:spPr>
        <a:xfrm flipH="1">
          <a:off x="1852295" y="97553145"/>
          <a:ext cx="840740" cy="1014730"/>
        </a:xfrm>
        <a:prstGeom prst="rect">
          <a:avLst/>
        </a:prstGeom>
      </xdr:spPr>
    </xdr:pic>
  </etc:cellImage>
  <etc:cellImage>
    <xdr:pic>
      <xdr:nvPicPr>
        <xdr:cNvPr id="76" name="ID_806F6246947E4C819B2D151479D6FFF8" descr="340b7fb2d983dedf8aa062ca8ee042f"/>
        <xdr:cNvPicPr>
          <a:picLocks noChangeAspect="1"/>
        </xdr:cNvPicPr>
      </xdr:nvPicPr>
      <xdr:blipFill>
        <a:blip r:embed="rId120"/>
        <a:stretch>
          <a:fillRect/>
        </a:stretch>
      </xdr:blipFill>
      <xdr:spPr>
        <a:xfrm>
          <a:off x="1525905" y="98948240"/>
          <a:ext cx="1349375" cy="1335405"/>
        </a:xfrm>
        <a:prstGeom prst="rect">
          <a:avLst/>
        </a:prstGeom>
      </xdr:spPr>
    </xdr:pic>
  </etc:cellImage>
  <etc:cellImage>
    <xdr:pic>
      <xdr:nvPicPr>
        <xdr:cNvPr id="77" name="ID_7C0C51A4201E4CF6BF0FCC63C449EB85" descr="22a514c93bec96be33d2369dbcfa05a"/>
        <xdr:cNvPicPr>
          <a:picLocks noChangeAspect="1"/>
        </xdr:cNvPicPr>
      </xdr:nvPicPr>
      <xdr:blipFill>
        <a:blip r:embed="rId99"/>
        <a:srcRect l="8093" t="18270" r="3936" b="8394"/>
        <a:stretch>
          <a:fillRect/>
        </a:stretch>
      </xdr:blipFill>
      <xdr:spPr>
        <a:xfrm flipH="1">
          <a:off x="1631315" y="100755450"/>
          <a:ext cx="1153160" cy="982345"/>
        </a:xfrm>
        <a:prstGeom prst="rect">
          <a:avLst/>
        </a:prstGeom>
      </xdr:spPr>
    </xdr:pic>
  </etc:cellImage>
  <etc:cellImage>
    <xdr:pic>
      <xdr:nvPicPr>
        <xdr:cNvPr id="78" name="ID_4672A0A02B454563BB6493DFB66574FE"/>
        <xdr:cNvPicPr>
          <a:picLocks noChangeAspect="1"/>
        </xdr:cNvPicPr>
      </xdr:nvPicPr>
      <xdr:blipFill>
        <a:blip r:embed="rId121"/>
        <a:stretch>
          <a:fillRect/>
        </a:stretch>
      </xdr:blipFill>
      <xdr:spPr>
        <a:xfrm>
          <a:off x="1754505" y="103637715"/>
          <a:ext cx="854710" cy="846455"/>
        </a:xfrm>
        <a:prstGeom prst="rect">
          <a:avLst/>
        </a:prstGeom>
        <a:noFill/>
        <a:ln w="9525">
          <a:noFill/>
        </a:ln>
      </xdr:spPr>
    </xdr:pic>
  </etc:cellImage>
  <etc:cellImage>
    <xdr:pic>
      <xdr:nvPicPr>
        <xdr:cNvPr id="79" name="ID_5C146A1F1EDA4491A352B3938B5E9DB4" descr="148c7929e9d131dab159976bb3a8e1f"/>
        <xdr:cNvPicPr>
          <a:picLocks noChangeAspect="1"/>
        </xdr:cNvPicPr>
      </xdr:nvPicPr>
      <xdr:blipFill>
        <a:blip r:embed="rId112"/>
        <a:srcRect l="2274" t="23927" r="77649" b="11675"/>
        <a:stretch>
          <a:fillRect/>
        </a:stretch>
      </xdr:blipFill>
      <xdr:spPr>
        <a:xfrm>
          <a:off x="1840865" y="106727625"/>
          <a:ext cx="673100" cy="1183005"/>
        </a:xfrm>
        <a:prstGeom prst="rect">
          <a:avLst/>
        </a:prstGeom>
      </xdr:spPr>
    </xdr:pic>
  </etc:cellImage>
  <etc:cellImage>
    <xdr:pic>
      <xdr:nvPicPr>
        <xdr:cNvPr id="80" name="ID_5C3509BB6BB541F28A3C9480E6432244"/>
        <xdr:cNvPicPr>
          <a:picLocks noChangeAspect="1"/>
        </xdr:cNvPicPr>
      </xdr:nvPicPr>
      <xdr:blipFill>
        <a:blip r:embed="rId111"/>
        <a:stretch>
          <a:fillRect/>
        </a:stretch>
      </xdr:blipFill>
      <xdr:spPr>
        <a:xfrm>
          <a:off x="1558925" y="109576870"/>
          <a:ext cx="1245870" cy="795655"/>
        </a:xfrm>
        <a:prstGeom prst="rect">
          <a:avLst/>
        </a:prstGeom>
        <a:noFill/>
        <a:ln w="9525">
          <a:noFill/>
        </a:ln>
      </xdr:spPr>
    </xdr:pic>
  </etc:cellImage>
  <etc:cellImage>
    <xdr:pic>
      <xdr:nvPicPr>
        <xdr:cNvPr id="81" name="ID_2EB073AE34754B7388C2696368E4CC9A" descr="0fc38018daedf4d32bc0aea8fe656fd"/>
        <xdr:cNvPicPr>
          <a:picLocks noChangeAspect="1"/>
        </xdr:cNvPicPr>
      </xdr:nvPicPr>
      <xdr:blipFill>
        <a:blip r:embed="rId122"/>
        <a:stretch>
          <a:fillRect/>
        </a:stretch>
      </xdr:blipFill>
      <xdr:spPr>
        <a:xfrm>
          <a:off x="1546860" y="112182910"/>
          <a:ext cx="1324610" cy="706120"/>
        </a:xfrm>
        <a:prstGeom prst="rect">
          <a:avLst/>
        </a:prstGeom>
        <a:noFill/>
        <a:ln w="9525">
          <a:noFill/>
        </a:ln>
      </xdr:spPr>
    </xdr:pic>
  </etc:cellImage>
  <etc:cellImage>
    <xdr:pic>
      <xdr:nvPicPr>
        <xdr:cNvPr id="122" name="ID_EC9D12B7CED34D6791526AEA3A5B3EF0"/>
        <xdr:cNvPicPr>
          <a:picLocks noChangeAspect="1"/>
        </xdr:cNvPicPr>
      </xdr:nvPicPr>
      <xdr:blipFill>
        <a:blip r:embed="rId123"/>
        <a:stretch>
          <a:fillRect/>
        </a:stretch>
      </xdr:blipFill>
      <xdr:spPr>
        <a:xfrm>
          <a:off x="1788795" y="113901855"/>
          <a:ext cx="686435" cy="867410"/>
        </a:xfrm>
        <a:prstGeom prst="rect">
          <a:avLst/>
        </a:prstGeom>
        <a:noFill/>
        <a:ln w="9525">
          <a:noFill/>
        </a:ln>
      </xdr:spPr>
    </xdr:pic>
  </etc:cellImage>
  <etc:cellImage>
    <xdr:pic>
      <xdr:nvPicPr>
        <xdr:cNvPr id="123" name="ID_87A86FE2E1664C89B54CF6428E606A97"/>
        <xdr:cNvPicPr>
          <a:picLocks noChangeAspect="1"/>
        </xdr:cNvPicPr>
      </xdr:nvPicPr>
      <xdr:blipFill>
        <a:blip r:embed="rId124"/>
        <a:stretch>
          <a:fillRect/>
        </a:stretch>
      </xdr:blipFill>
      <xdr:spPr>
        <a:xfrm>
          <a:off x="1635760" y="114897535"/>
          <a:ext cx="937895" cy="946785"/>
        </a:xfrm>
        <a:prstGeom prst="rect">
          <a:avLst/>
        </a:prstGeom>
        <a:noFill/>
        <a:ln w="9525">
          <a:noFill/>
        </a:ln>
      </xdr:spPr>
    </xdr:pic>
  </etc:cellImage>
  <etc:cellImage>
    <xdr:pic>
      <xdr:nvPicPr>
        <xdr:cNvPr id="127" name="ID_3C49630ED81F49FAB4E613B4E9C29F8A"/>
        <xdr:cNvPicPr>
          <a:picLocks noChangeAspect="1"/>
        </xdr:cNvPicPr>
      </xdr:nvPicPr>
      <xdr:blipFill>
        <a:blip r:embed="rId125"/>
        <a:stretch>
          <a:fillRect/>
        </a:stretch>
      </xdr:blipFill>
      <xdr:spPr>
        <a:xfrm>
          <a:off x="1623060" y="115926870"/>
          <a:ext cx="1035050" cy="771525"/>
        </a:xfrm>
        <a:prstGeom prst="rect">
          <a:avLst/>
        </a:prstGeom>
        <a:noFill/>
        <a:ln w="9525">
          <a:noFill/>
        </a:ln>
      </xdr:spPr>
    </xdr:pic>
  </etc:cellImage>
  <etc:cellImage>
    <xdr:pic>
      <xdr:nvPicPr>
        <xdr:cNvPr id="130" name="ID_29035D962DD14331BF3F91FDA7A9E3CF"/>
        <xdr:cNvPicPr>
          <a:picLocks noChangeAspect="1"/>
        </xdr:cNvPicPr>
      </xdr:nvPicPr>
      <xdr:blipFill>
        <a:blip r:embed="rId126"/>
        <a:stretch>
          <a:fillRect/>
        </a:stretch>
      </xdr:blipFill>
      <xdr:spPr>
        <a:xfrm>
          <a:off x="1548765" y="117203855"/>
          <a:ext cx="1326515" cy="373380"/>
        </a:xfrm>
        <a:prstGeom prst="rect">
          <a:avLst/>
        </a:prstGeom>
        <a:noFill/>
        <a:ln w="9525">
          <a:noFill/>
        </a:ln>
      </xdr:spPr>
    </xdr:pic>
  </etc:cellImage>
  <etc:cellImage>
    <xdr:pic>
      <xdr:nvPicPr>
        <xdr:cNvPr id="131" name="ID_3D6678ED751D4475BDF767573B875912"/>
        <xdr:cNvPicPr>
          <a:picLocks noChangeAspect="1"/>
        </xdr:cNvPicPr>
      </xdr:nvPicPr>
      <xdr:blipFill>
        <a:blip r:embed="rId121"/>
        <a:stretch>
          <a:fillRect/>
        </a:stretch>
      </xdr:blipFill>
      <xdr:spPr>
        <a:xfrm>
          <a:off x="1735455" y="7603490"/>
          <a:ext cx="854710" cy="846455"/>
        </a:xfrm>
        <a:prstGeom prst="rect">
          <a:avLst/>
        </a:prstGeom>
        <a:noFill/>
        <a:ln w="9525">
          <a:noFill/>
        </a:ln>
      </xdr:spPr>
    </xdr:pic>
  </etc:cellImage>
  <etc:cellImage>
    <xdr:pic>
      <xdr:nvPicPr>
        <xdr:cNvPr id="132" name="ID_1F8D656D416B4989833EE3338396E530" descr="c1562392db773ad05c727d8c78baf15"/>
        <xdr:cNvPicPr>
          <a:picLocks noChangeAspect="1"/>
        </xdr:cNvPicPr>
      </xdr:nvPicPr>
      <xdr:blipFill>
        <a:blip r:embed="rId127"/>
        <a:stretch>
          <a:fillRect/>
        </a:stretch>
      </xdr:blipFill>
      <xdr:spPr>
        <a:xfrm>
          <a:off x="1489075" y="10193655"/>
          <a:ext cx="1388110" cy="873760"/>
        </a:xfrm>
        <a:prstGeom prst="rect">
          <a:avLst/>
        </a:prstGeom>
      </xdr:spPr>
    </xdr:pic>
  </etc:cellImage>
  <etc:cellImage>
    <xdr:pic>
      <xdr:nvPicPr>
        <xdr:cNvPr id="135" name="ID_B9EF0188D48449B983D07F6F89BE53F9" descr="9c5cdbed6b97c4ec2862b01f96130c1"/>
        <xdr:cNvPicPr>
          <a:picLocks noChangeAspect="1"/>
        </xdr:cNvPicPr>
      </xdr:nvPicPr>
      <xdr:blipFill>
        <a:blip r:embed="rId128"/>
        <a:stretch>
          <a:fillRect/>
        </a:stretch>
      </xdr:blipFill>
      <xdr:spPr>
        <a:xfrm>
          <a:off x="1775460" y="12839065"/>
          <a:ext cx="777240" cy="869315"/>
        </a:xfrm>
        <a:prstGeom prst="rect">
          <a:avLst/>
        </a:prstGeom>
        <a:noFill/>
        <a:ln w="9525">
          <a:noFill/>
        </a:ln>
      </xdr:spPr>
    </xdr:pic>
  </etc:cellImage>
  <etc:cellImage>
    <xdr:pic>
      <xdr:nvPicPr>
        <xdr:cNvPr id="136" name="ID_367E4419FEDE43FDB35353EF0202D930"/>
        <xdr:cNvPicPr>
          <a:picLocks noChangeAspect="1"/>
        </xdr:cNvPicPr>
      </xdr:nvPicPr>
      <xdr:blipFill>
        <a:blip r:embed="rId129"/>
        <a:stretch>
          <a:fillRect/>
        </a:stretch>
      </xdr:blipFill>
      <xdr:spPr>
        <a:xfrm>
          <a:off x="1504950" y="15633065"/>
          <a:ext cx="1376045" cy="438785"/>
        </a:xfrm>
        <a:prstGeom prst="rect">
          <a:avLst/>
        </a:prstGeom>
        <a:noFill/>
        <a:ln w="9525">
          <a:noFill/>
        </a:ln>
      </xdr:spPr>
    </xdr:pic>
  </etc:cellImage>
  <etc:cellImage>
    <xdr:pic>
      <xdr:nvPicPr>
        <xdr:cNvPr id="137" name="ID_E89C205870844BC7B346407FF903E59E"/>
        <xdr:cNvPicPr>
          <a:picLocks noChangeAspect="1"/>
        </xdr:cNvPicPr>
      </xdr:nvPicPr>
      <xdr:blipFill>
        <a:blip r:embed="rId102"/>
        <a:stretch>
          <a:fillRect/>
        </a:stretch>
      </xdr:blipFill>
      <xdr:spPr>
        <a:xfrm>
          <a:off x="1703070" y="18063845"/>
          <a:ext cx="861060" cy="1175385"/>
        </a:xfrm>
        <a:prstGeom prst="rect">
          <a:avLst/>
        </a:prstGeom>
      </xdr:spPr>
    </xdr:pic>
  </etc:cellImage>
  <etc:cellImage>
    <xdr:pic>
      <xdr:nvPicPr>
        <xdr:cNvPr id="138" name="ID_13B2B2823CEE40BA9FABBB63296C8D2C"/>
        <xdr:cNvPicPr>
          <a:picLocks noChangeAspect="1"/>
        </xdr:cNvPicPr>
      </xdr:nvPicPr>
      <xdr:blipFill>
        <a:blip r:embed="rId130"/>
        <a:stretch>
          <a:fillRect/>
        </a:stretch>
      </xdr:blipFill>
      <xdr:spPr>
        <a:xfrm>
          <a:off x="1614170" y="22437090"/>
          <a:ext cx="1204595" cy="1250315"/>
        </a:xfrm>
        <a:prstGeom prst="rect">
          <a:avLst/>
        </a:prstGeom>
        <a:noFill/>
        <a:ln w="9525">
          <a:noFill/>
        </a:ln>
      </xdr:spPr>
    </xdr:pic>
  </etc:cellImage>
  <etc:cellImage>
    <xdr:pic>
      <xdr:nvPicPr>
        <xdr:cNvPr id="139" name="ID_A9B44FFB41DE478981280F387056E7E6"/>
        <xdr:cNvPicPr>
          <a:picLocks noChangeAspect="1"/>
        </xdr:cNvPicPr>
      </xdr:nvPicPr>
      <xdr:blipFill>
        <a:blip r:embed="rId131" cstate="print">
          <a:extLst>
            <a:ext uri="{28A0092B-C50C-407E-A947-70E740481C1C}">
              <a14:useLocalDpi xmlns:a14="http://schemas.microsoft.com/office/drawing/2010/main" val="0"/>
            </a:ext>
          </a:extLst>
        </a:blip>
        <a:srcRect l="5360" t="19002" r="11660" b="8126"/>
        <a:stretch>
          <a:fillRect/>
        </a:stretch>
      </xdr:blipFill>
      <xdr:spPr>
        <a:xfrm>
          <a:off x="1494155" y="31007050"/>
          <a:ext cx="1403350" cy="940435"/>
        </a:xfrm>
        <a:prstGeom prst="rect">
          <a:avLst/>
        </a:prstGeom>
      </xdr:spPr>
    </xdr:pic>
  </etc:cellImage>
  <etc:cellImage>
    <xdr:pic>
      <xdr:nvPicPr>
        <xdr:cNvPr id="140" name="ID_6455DBAC40FF4AF981D1886370A75AFB" descr="399fa408032c9b77ed6ef98faa8e58d"/>
        <xdr:cNvPicPr>
          <a:picLocks noChangeAspect="1"/>
        </xdr:cNvPicPr>
      </xdr:nvPicPr>
      <xdr:blipFill>
        <a:blip r:embed="rId132"/>
        <a:srcRect l="22430" t="22358" r="19206"/>
        <a:stretch>
          <a:fillRect/>
        </a:stretch>
      </xdr:blipFill>
      <xdr:spPr>
        <a:xfrm>
          <a:off x="1584325" y="68052315"/>
          <a:ext cx="1206500" cy="979805"/>
        </a:xfrm>
        <a:prstGeom prst="rect">
          <a:avLst/>
        </a:prstGeom>
      </xdr:spPr>
    </xdr:pic>
  </etc:cellImage>
  <etc:cellImage>
    <xdr:pic>
      <xdr:nvPicPr>
        <xdr:cNvPr id="142" name="ID_FDDFBBB137C0436EB0F7563D5E8F9015" descr="C:/Users/ADMINI~1/AppData/Local/Temp/picturecompress_20201223115446/output_1.jpgoutput_1"/>
        <xdr:cNvPicPr>
          <a:picLocks noChangeAspect="1"/>
        </xdr:cNvPicPr>
      </xdr:nvPicPr>
      <xdr:blipFill>
        <a:blip r:embed="rId133"/>
        <a:stretch>
          <a:fillRect/>
        </a:stretch>
      </xdr:blipFill>
      <xdr:spPr>
        <a:xfrm>
          <a:off x="1567815" y="56427370"/>
          <a:ext cx="1362075" cy="211455"/>
        </a:xfrm>
        <a:prstGeom prst="rect">
          <a:avLst/>
        </a:prstGeom>
        <a:noFill/>
        <a:ln w="9525">
          <a:noFill/>
        </a:ln>
      </xdr:spPr>
    </xdr:pic>
  </etc:cellImage>
  <etc:cellImage>
    <xdr:pic>
      <xdr:nvPicPr>
        <xdr:cNvPr id="143" name="ID_15A34CEB83EF47B49B17781532707758"/>
        <xdr:cNvPicPr>
          <a:picLocks noChangeAspect="1"/>
        </xdr:cNvPicPr>
      </xdr:nvPicPr>
      <xdr:blipFill>
        <a:blip r:embed="rId134"/>
        <a:stretch>
          <a:fillRect/>
        </a:stretch>
      </xdr:blipFill>
      <xdr:spPr>
        <a:xfrm>
          <a:off x="1928495" y="52322730"/>
          <a:ext cx="541020" cy="457200"/>
        </a:xfrm>
        <a:prstGeom prst="rect">
          <a:avLst/>
        </a:prstGeom>
        <a:noFill/>
        <a:ln w="9525">
          <a:noFill/>
        </a:ln>
      </xdr:spPr>
    </xdr:pic>
  </etc:cellImage>
  <etc:cellImage>
    <xdr:pic>
      <xdr:nvPicPr>
        <xdr:cNvPr id="146" name="ID_9D8ACD65B4AE41BAA44458F28007EF1A" descr="QQ截图未命名"/>
        <xdr:cNvPicPr>
          <a:picLocks noChangeAspect="1"/>
        </xdr:cNvPicPr>
      </xdr:nvPicPr>
      <xdr:blipFill>
        <a:blip r:embed="rId135"/>
        <a:stretch>
          <a:fillRect/>
        </a:stretch>
      </xdr:blipFill>
      <xdr:spPr>
        <a:xfrm>
          <a:off x="1990090" y="49088675"/>
          <a:ext cx="541020" cy="542925"/>
        </a:xfrm>
        <a:prstGeom prst="rect">
          <a:avLst/>
        </a:prstGeom>
        <a:noFill/>
        <a:ln w="9525">
          <a:noFill/>
        </a:ln>
      </xdr:spPr>
    </xdr:pic>
  </etc:cellImage>
  <etc:cellImage>
    <xdr:pic>
      <xdr:nvPicPr>
        <xdr:cNvPr id="147" name="ID_D2127001ED8C4E29AAE62AC097F4BD03"/>
        <xdr:cNvPicPr>
          <a:picLocks noChangeAspect="1"/>
        </xdr:cNvPicPr>
      </xdr:nvPicPr>
      <xdr:blipFill>
        <a:blip r:embed="rId136"/>
        <a:stretch>
          <a:fillRect/>
        </a:stretch>
      </xdr:blipFill>
      <xdr:spPr>
        <a:xfrm>
          <a:off x="1772285" y="51234975"/>
          <a:ext cx="1073785" cy="210820"/>
        </a:xfrm>
        <a:prstGeom prst="rect">
          <a:avLst/>
        </a:prstGeom>
        <a:noFill/>
        <a:ln w="9525">
          <a:noFill/>
        </a:ln>
      </xdr:spPr>
    </xdr:pic>
  </etc:cellImage>
  <etc:cellImage>
    <xdr:pic>
      <xdr:nvPicPr>
        <xdr:cNvPr id="145" name="ID_674916C48F164FE18FCF7157F50FEA24"/>
        <xdr:cNvPicPr>
          <a:picLocks noChangeAspect="1"/>
        </xdr:cNvPicPr>
      </xdr:nvPicPr>
      <xdr:blipFill>
        <a:blip r:embed="rId137"/>
        <a:stretch>
          <a:fillRect/>
        </a:stretch>
      </xdr:blipFill>
      <xdr:spPr>
        <a:xfrm>
          <a:off x="1661795" y="47820580"/>
          <a:ext cx="1230630" cy="211455"/>
        </a:xfrm>
        <a:prstGeom prst="rect">
          <a:avLst/>
        </a:prstGeom>
        <a:noFill/>
        <a:ln w="9525">
          <a:noFill/>
        </a:ln>
      </xdr:spPr>
    </xdr:pic>
  </etc:cellImage>
  <etc:cellImage>
    <xdr:pic>
      <xdr:nvPicPr>
        <xdr:cNvPr id="144" name="ID_C7C3F762C90F4934A0AEEA2BC2BD4A97"/>
        <xdr:cNvPicPr>
          <a:picLocks noChangeAspect="1"/>
        </xdr:cNvPicPr>
      </xdr:nvPicPr>
      <xdr:blipFill>
        <a:blip r:embed="rId138"/>
        <a:stretch>
          <a:fillRect/>
        </a:stretch>
      </xdr:blipFill>
      <xdr:spPr>
        <a:xfrm>
          <a:off x="1679575" y="44562395"/>
          <a:ext cx="1169670" cy="238125"/>
        </a:xfrm>
        <a:prstGeom prst="rect">
          <a:avLst/>
        </a:prstGeom>
        <a:noFill/>
        <a:ln w="9525">
          <a:noFill/>
        </a:ln>
      </xdr:spPr>
    </xdr:pic>
  </etc:cellImage>
  <etc:cellImage>
    <xdr:pic>
      <xdr:nvPicPr>
        <xdr:cNvPr id="148" name="ID_87916D7000894586939B32B0A5DDFAF9"/>
        <xdr:cNvPicPr>
          <a:picLocks noChangeAspect="1"/>
        </xdr:cNvPicPr>
      </xdr:nvPicPr>
      <xdr:blipFill>
        <a:blip r:embed="rId139"/>
        <a:stretch>
          <a:fillRect/>
        </a:stretch>
      </xdr:blipFill>
      <xdr:spPr>
        <a:xfrm rot="5400000">
          <a:off x="2023745" y="8428990"/>
          <a:ext cx="415290" cy="921385"/>
        </a:xfrm>
        <a:prstGeom prst="rect">
          <a:avLst/>
        </a:prstGeom>
        <a:noFill/>
        <a:ln w="9525">
          <a:noFill/>
        </a:ln>
      </xdr:spPr>
    </xdr:pic>
  </etc:cellImage>
  <etc:cellImage>
    <xdr:pic>
      <xdr:nvPicPr>
        <xdr:cNvPr id="149" name="ID_DED0402E80E342C298330A73D7C90035"/>
        <xdr:cNvPicPr>
          <a:picLocks noChangeAspect="1" noChangeArrowheads="1"/>
        </xdr:cNvPicPr>
      </xdr:nvPicPr>
      <xdr:blipFill>
        <a:blip r:embed="rId140">
          <a:extLst>
            <a:ext uri="{28A0092B-C50C-407E-A947-70E740481C1C}">
              <a14:useLocalDpi xmlns:a14="http://schemas.microsoft.com/office/drawing/2010/main" val="0"/>
            </a:ext>
          </a:extLst>
        </a:blip>
        <a:srcRect/>
        <a:stretch>
          <a:fillRect/>
        </a:stretch>
      </xdr:blipFill>
      <xdr:spPr>
        <a:xfrm>
          <a:off x="1788795" y="9725660"/>
          <a:ext cx="867410" cy="326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50" name="ID_3B57C201821A4788AFF8181E143DDB8B"/>
        <xdr:cNvPicPr>
          <a:picLocks noChangeAspect="1"/>
        </xdr:cNvPicPr>
      </xdr:nvPicPr>
      <xdr:blipFill>
        <a:blip r:embed="rId141"/>
        <a:stretch>
          <a:fillRect/>
        </a:stretch>
      </xdr:blipFill>
      <xdr:spPr>
        <a:xfrm>
          <a:off x="1962785" y="10721975"/>
          <a:ext cx="506730" cy="504825"/>
        </a:xfrm>
        <a:prstGeom prst="rect">
          <a:avLst/>
        </a:prstGeom>
        <a:noFill/>
        <a:ln w="9525">
          <a:noFill/>
        </a:ln>
      </xdr:spPr>
    </xdr:pic>
  </etc:cellImage>
  <etc:cellImage>
    <xdr:pic>
      <xdr:nvPicPr>
        <xdr:cNvPr id="151" name="ID_863442146C634A68819BF5D6AB99075B" descr="20130115034250[1]"/>
        <xdr:cNvPicPr>
          <a:picLocks noChangeAspect="1"/>
        </xdr:cNvPicPr>
      </xdr:nvPicPr>
      <xdr:blipFill>
        <a:blip r:embed="rId142" cstate="print"/>
        <a:stretch>
          <a:fillRect/>
        </a:stretch>
      </xdr:blipFill>
      <xdr:spPr>
        <a:xfrm>
          <a:off x="1839595" y="11558905"/>
          <a:ext cx="749300" cy="648335"/>
        </a:xfrm>
        <a:prstGeom prst="rect">
          <a:avLst/>
        </a:prstGeom>
        <a:noFill/>
        <a:ln w="9525">
          <a:noFill/>
          <a:miter/>
        </a:ln>
      </xdr:spPr>
    </xdr:pic>
  </etc:cellImage>
  <etc:cellImage>
    <xdr:pic>
      <xdr:nvPicPr>
        <xdr:cNvPr id="153" name="ID_53681922E3944C78927ED41112AD37C7"/>
        <xdr:cNvPicPr>
          <a:picLocks noChangeAspect="1" noChangeArrowheads="1"/>
        </xdr:cNvPicPr>
      </xdr:nvPicPr>
      <xdr:blipFill>
        <a:blip r:embed="rId143" cstate="print"/>
        <a:srcRect/>
        <a:stretch>
          <a:fillRect/>
        </a:stretch>
      </xdr:blipFill>
      <xdr:spPr>
        <a:xfrm>
          <a:off x="1691005" y="7634605"/>
          <a:ext cx="974725" cy="601345"/>
        </a:xfrm>
        <a:prstGeom prst="rect">
          <a:avLst/>
        </a:prstGeom>
        <a:noFill/>
        <a:ln w="1">
          <a:noFill/>
          <a:miter lim="800000"/>
          <a:headEnd/>
          <a:tailEnd type="none" w="med" len="med"/>
        </a:ln>
        <a:effectLst/>
      </xdr:spPr>
    </xdr:pic>
  </etc:cellImage>
  <etc:cellImage>
    <xdr:pic>
      <xdr:nvPicPr>
        <xdr:cNvPr id="152" name="ID_42DD063117974F48915FA05132807DB7"/>
        <xdr:cNvPicPr>
          <a:picLocks noChangeAspect="1" noChangeArrowheads="1"/>
        </xdr:cNvPicPr>
      </xdr:nvPicPr>
      <xdr:blipFill>
        <a:blip r:embed="rId144" cstate="print">
          <a:extLst>
            <a:ext uri="{28A0092B-C50C-407E-A947-70E740481C1C}">
              <a14:useLocalDpi xmlns:a14="http://schemas.microsoft.com/office/drawing/2010/main" val="0"/>
            </a:ext>
          </a:extLst>
        </a:blip>
        <a:srcRect/>
        <a:stretch>
          <a:fillRect/>
        </a:stretch>
      </xdr:blipFill>
      <xdr:spPr>
        <a:xfrm>
          <a:off x="2052955" y="6413500"/>
          <a:ext cx="3746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41" name="ID_103FFFE91C8F40688D717BB890047C06" descr="C:\Users\Administrator\Desktop\QQ截图20190605104815.jpg"/>
        <xdr:cNvPicPr/>
      </xdr:nvPicPr>
      <xdr:blipFill>
        <a:blip r:embed="rId145"/>
        <a:stretch>
          <a:fillRect/>
        </a:stretch>
      </xdr:blipFill>
      <xdr:spPr>
        <a:xfrm>
          <a:off x="1644650" y="29522420"/>
          <a:ext cx="1328420" cy="307340"/>
        </a:xfrm>
        <a:prstGeom prst="rect">
          <a:avLst/>
        </a:prstGeom>
        <a:noFill/>
        <a:ln w="9525">
          <a:noFill/>
        </a:ln>
      </xdr:spPr>
    </xdr:pic>
  </etc:cellImage>
  <etc:cellImage>
    <xdr:pic>
      <xdr:nvPicPr>
        <xdr:cNvPr id="154" name="ID_F71F37A6FA2941829CD354B1C41ED37B" descr="C:\Users\ljs\Desktop\产品资料\电声公司\DS-U410主.jpg"/>
        <xdr:cNvPicPr>
          <a:picLocks noChangeAspect="1"/>
        </xdr:cNvPicPr>
      </xdr:nvPicPr>
      <xdr:blipFill>
        <a:blip r:embed="rId146"/>
        <a:srcRect l="6140" t="26878" r="6808" b="24133"/>
        <a:stretch>
          <a:fillRect/>
        </a:stretch>
      </xdr:blipFill>
      <xdr:spPr>
        <a:xfrm>
          <a:off x="2098040" y="33517840"/>
          <a:ext cx="786765" cy="475615"/>
        </a:xfrm>
        <a:prstGeom prst="rect">
          <a:avLst/>
        </a:prstGeom>
        <a:noFill/>
        <a:ln w="9525">
          <a:noFill/>
        </a:ln>
      </xdr:spPr>
    </xdr:pic>
  </etc:cellImage>
  <etc:cellImage>
    <xdr:pic>
      <xdr:nvPicPr>
        <xdr:cNvPr id="156" name="ID_F7EFAD626EF84DC2ADF54FC8EF65F38A"/>
        <xdr:cNvPicPr>
          <a:picLocks noChangeAspect="1"/>
        </xdr:cNvPicPr>
      </xdr:nvPicPr>
      <xdr:blipFill>
        <a:blip r:embed="rId147"/>
        <a:stretch>
          <a:fillRect/>
        </a:stretch>
      </xdr:blipFill>
      <xdr:spPr>
        <a:xfrm>
          <a:off x="1578610" y="25458420"/>
          <a:ext cx="1346200" cy="245110"/>
        </a:xfrm>
        <a:prstGeom prst="rect">
          <a:avLst/>
        </a:prstGeom>
        <a:noFill/>
        <a:ln w="9525">
          <a:noFill/>
        </a:ln>
      </xdr:spPr>
    </xdr:pic>
  </etc:cellImage>
  <etc:cellImage>
    <xdr:pic>
      <xdr:nvPicPr>
        <xdr:cNvPr id="157" name="ID_26B1072A65DA4E6AB1E0898BE43DA1D4" descr="G2-DSP"/>
        <xdr:cNvPicPr>
          <a:picLocks noChangeAspect="1"/>
        </xdr:cNvPicPr>
      </xdr:nvPicPr>
      <xdr:blipFill>
        <a:blip r:embed="rId148"/>
        <a:stretch>
          <a:fillRect/>
        </a:stretch>
      </xdr:blipFill>
      <xdr:spPr>
        <a:xfrm>
          <a:off x="1537335" y="21586190"/>
          <a:ext cx="1392555" cy="144145"/>
        </a:xfrm>
        <a:prstGeom prst="rect">
          <a:avLst/>
        </a:prstGeom>
        <a:noFill/>
        <a:ln w="9525">
          <a:noFill/>
        </a:ln>
      </xdr:spPr>
    </xdr:pic>
  </etc:cellImage>
  <etc:cellImage>
    <xdr:pic>
      <xdr:nvPicPr>
        <xdr:cNvPr id="158" name="ID_6F4362D0F53D48F19114E50B7B69912D" descr="G2-DSP"/>
        <xdr:cNvPicPr>
          <a:picLocks noChangeAspect="1"/>
        </xdr:cNvPicPr>
      </xdr:nvPicPr>
      <xdr:blipFill>
        <a:blip r:embed="rId148"/>
        <a:stretch>
          <a:fillRect/>
        </a:stretch>
      </xdr:blipFill>
      <xdr:spPr>
        <a:xfrm>
          <a:off x="1525270" y="16614775"/>
          <a:ext cx="1404620" cy="155575"/>
        </a:xfrm>
        <a:prstGeom prst="rect">
          <a:avLst/>
        </a:prstGeom>
        <a:noFill/>
        <a:ln w="9525">
          <a:noFill/>
        </a:ln>
      </xdr:spPr>
    </xdr:pic>
  </etc:cellImage>
  <etc:cellImage>
    <xdr:pic>
      <xdr:nvPicPr>
        <xdr:cNvPr id="159" name="ID_B153E800CE4C47D39A8B22A6DBCACA3D" descr="K122"/>
        <xdr:cNvPicPr>
          <a:picLocks noChangeAspect="1"/>
        </xdr:cNvPicPr>
      </xdr:nvPicPr>
      <xdr:blipFill>
        <a:blip r:embed="rId149"/>
        <a:stretch>
          <a:fillRect/>
        </a:stretch>
      </xdr:blipFill>
      <xdr:spPr>
        <a:xfrm>
          <a:off x="2021840" y="18874105"/>
          <a:ext cx="366395" cy="591185"/>
        </a:xfrm>
        <a:prstGeom prst="rect">
          <a:avLst/>
        </a:prstGeom>
        <a:noFill/>
        <a:ln w="9525">
          <a:noFill/>
        </a:ln>
      </xdr:spPr>
    </xdr:pic>
  </etc:cellImage>
  <etc:cellImage>
    <xdr:pic>
      <xdr:nvPicPr>
        <xdr:cNvPr id="174" name="ID_8BDF2290FCCB4D0C8EDF02F3269C5F8C" descr="Z5_SNE)7ON6LHR~6SGOZ)9D"/>
        <xdr:cNvPicPr>
          <a:picLocks noChangeAspect="1"/>
        </xdr:cNvPicPr>
      </xdr:nvPicPr>
      <xdr:blipFill>
        <a:blip r:embed="rId150"/>
        <a:stretch>
          <a:fillRect/>
        </a:stretch>
      </xdr:blipFill>
      <xdr:spPr>
        <a:xfrm>
          <a:off x="1572260" y="17422495"/>
          <a:ext cx="1254125" cy="663575"/>
        </a:xfrm>
        <a:prstGeom prst="rect">
          <a:avLst/>
        </a:prstGeom>
        <a:noFill/>
        <a:ln w="9525">
          <a:noFill/>
        </a:ln>
      </xdr:spPr>
    </xdr:pic>
  </etc:cellImage>
</etc:cellImages>
</file>

<file path=xl/sharedStrings.xml><?xml version="1.0" encoding="utf-8"?>
<sst xmlns="http://schemas.openxmlformats.org/spreadsheetml/2006/main" count="1089" uniqueCount="601">
  <si>
    <t>铜梁区第十四特困供养设施（大庙敬老院）文化布置采购清单</t>
  </si>
  <si>
    <t>序号</t>
  </si>
  <si>
    <t>产品名称</t>
  </si>
  <si>
    <t>图片</t>
  </si>
  <si>
    <t>材质</t>
  </si>
  <si>
    <t>规格</t>
  </si>
  <si>
    <t>单位</t>
  </si>
  <si>
    <t>工程量</t>
  </si>
  <si>
    <t>单价</t>
  </si>
  <si>
    <t>合计</t>
  </si>
  <si>
    <t>备注</t>
  </si>
  <si>
    <t>十三</t>
  </si>
  <si>
    <t>文化建设</t>
  </si>
  <si>
    <t>大门口吊牌</t>
  </si>
  <si>
    <t xml:space="preserve">不锈钢烤漆字，折边2cm
</t>
  </si>
  <si>
    <t>32cm*2.1m</t>
  </si>
  <si>
    <t>块</t>
  </si>
  <si>
    <t>大门及外墙等LOGO+宣传语</t>
  </si>
  <si>
    <t>1、1.5cmPVC板UV（有色板）雕刻
2、高空安装</t>
  </si>
  <si>
    <t>2m*2m</t>
  </si>
  <si>
    <t>cm</t>
  </si>
  <si>
    <t>写“大庙养老”四个字</t>
  </si>
  <si>
    <t>廊道文化墙</t>
  </si>
  <si>
    <t>1cmPVC UV画面</t>
  </si>
  <si>
    <t>60cm*1.2m</t>
  </si>
  <si>
    <t>食堂宣传画</t>
  </si>
  <si>
    <t xml:space="preserve">1.5mmPVC UV画面
</t>
  </si>
  <si>
    <t>40cm*60cm</t>
  </si>
  <si>
    <t>门牌</t>
  </si>
  <si>
    <t xml:space="preserve">2mm亚克力反喷打印
</t>
  </si>
  <si>
    <t>20cm*12cm</t>
  </si>
  <si>
    <t>科室牌</t>
  </si>
  <si>
    <t xml:space="preserve">5mm亚克力反喷打印
</t>
  </si>
  <si>
    <t>38cm*15cm</t>
  </si>
  <si>
    <t>厨房、储藏室、食堂、临终关怀室、书画室、值班室、监控室、消防室、会议室、医生办公室、药房、男厕所（3个），女厕所（3个），洗衣房（3个），办公室（12个）</t>
  </si>
  <si>
    <t>厨房贴牌</t>
  </si>
  <si>
    <t>30cm*12cm</t>
  </si>
  <si>
    <t>警示牌</t>
  </si>
  <si>
    <t>40cm*40cm</t>
  </si>
  <si>
    <t>20cm*20cm</t>
  </si>
  <si>
    <t>15cm*15cm</t>
  </si>
  <si>
    <t>标识</t>
  </si>
  <si>
    <t>24cm*10cm</t>
  </si>
  <si>
    <t>灭火器放置点</t>
  </si>
  <si>
    <t>50cm*32cm</t>
  </si>
  <si>
    <t>双面草坪提示牌</t>
  </si>
  <si>
    <t xml:space="preserve">异型造型：不锈钢烤漆
</t>
  </si>
  <si>
    <t>50cm*50cm</t>
  </si>
  <si>
    <t>块/套</t>
  </si>
  <si>
    <t>紧急疏散示意图1</t>
  </si>
  <si>
    <t>2mm乳白色亚克力UV打印</t>
  </si>
  <si>
    <t>50cm*30cm</t>
  </si>
  <si>
    <t>微型消防站制度</t>
  </si>
  <si>
    <t>50cm*70cm</t>
  </si>
  <si>
    <t>房间床位贴牌、椅子、床头柜位贴牌</t>
  </si>
  <si>
    <t>8cm*8cm</t>
  </si>
  <si>
    <t>个</t>
  </si>
  <si>
    <t>人员信息牌</t>
  </si>
  <si>
    <t>5mmPVC底板UV背景画面+亚克力盒</t>
  </si>
  <si>
    <t>30*20cm</t>
  </si>
  <si>
    <t>套</t>
  </si>
  <si>
    <t>制度牌</t>
  </si>
  <si>
    <t>服务信息公示栏</t>
  </si>
  <si>
    <t>2.4m*1.2m</t>
  </si>
  <si>
    <t>㎡</t>
  </si>
  <si>
    <t>服务信息公示栏（照片）</t>
  </si>
  <si>
    <t>亚克力盒+照片</t>
  </si>
  <si>
    <t>亚克力盒</t>
  </si>
  <si>
    <t>吸烟区</t>
  </si>
  <si>
    <t>5mmPVC UV画面</t>
  </si>
  <si>
    <t>40cm*20cm</t>
  </si>
  <si>
    <t>服务信息卡</t>
  </si>
  <si>
    <t>13cm*18cm</t>
  </si>
  <si>
    <t>意见箱</t>
  </si>
  <si>
    <t>意见箱+封面打印</t>
  </si>
  <si>
    <t>30cm*20cm</t>
  </si>
  <si>
    <t>食堂组织机构</t>
  </si>
  <si>
    <t>食堂食谱公示</t>
  </si>
  <si>
    <t>1cmPVC UV画面+亚克力盒</t>
  </si>
  <si>
    <t>80cm*60cm</t>
  </si>
  <si>
    <t>含亚克力盒</t>
  </si>
  <si>
    <t>露天公示栏</t>
  </si>
  <si>
    <t>可开启式不锈钢烤漆仿古专栏+预埋</t>
  </si>
  <si>
    <t>内框尺寸2.4m*1.2m</t>
  </si>
  <si>
    <t>参照镇退役军人服务站门口公示栏</t>
  </si>
  <si>
    <t>导视牌</t>
  </si>
  <si>
    <t>不锈钢烤漆</t>
  </si>
  <si>
    <t>0.65*2.2m</t>
  </si>
  <si>
    <t>项</t>
  </si>
  <si>
    <t>背景墙水晶字</t>
  </si>
  <si>
    <t>亚克力雕刻字</t>
  </si>
  <si>
    <t>5+3mm</t>
  </si>
  <si>
    <t>cm/m2</t>
  </si>
  <si>
    <t>5mm亚克力背景墙</t>
  </si>
  <si>
    <t>亚克力反喷+雕刻</t>
  </si>
  <si>
    <t>m2</t>
  </si>
  <si>
    <t>注：单价为全费用综合单价，包含运输、安装、辅材、售后服务亦包含直接费、采购项目一般风险费、管理费、合理利润、措施费（含安全文明施工费）、规费、税金等所有费用</t>
  </si>
  <si>
    <t>重庆市铜梁区第十四特困供养设施(敬老院)建设项目预算清单</t>
  </si>
  <si>
    <t>全费用综合单价</t>
  </si>
  <si>
    <t>金额（元）</t>
  </si>
  <si>
    <t>一</t>
  </si>
  <si>
    <t>家具</t>
  </si>
  <si>
    <t>护理床</t>
  </si>
  <si>
    <t>1、面材：采用E1级优质浸渍胶膜纸饰面刨花板，符合GB/T 15102-2017 浸渍胶膜纸饰面纤维板和刨花板和GB/T 35601-2017 绿色产品评价 人造板和木质地板，静曲强度（mpa)≥11，弹性模量（mpa)≥1600，内结合强度（mpa)≥0.35，握螺钉力面板≥900N，板边≥600N，甲醛释放量≤0.023mg/m3；
2、PVC封边条：符合QB/T4463-2013耐开裂性（耐龟裂性）≥2级，耐光色牢度（灰色样卡）≥4级，甲醛释放量≤0.1mg/L，可溶性重金属铅、镉、铬、汞、均未检出；
3、白乳胶：优质品牌白乳胶，符合GB 18583-2008《室内装饰装修材料 胶粘剂中有害物质限量》标准，不挥发物（%）≥24，pH值合格，粘度（Pa·s）≥3，总挥发性有机物含量（g/L）≤102，苯（g/kg）、甲苯+二甲苯（g/kg）、游离甲醛（g/kg）均未检出；
4、五金件：选用品牌优质五金配件；
5、内置优质两功能手摇钢架，功能配备：手动起背、抬腿功能。</t>
  </si>
  <si>
    <t>1050*2080*1100</t>
  </si>
  <si>
    <t>张</t>
  </si>
  <si>
    <t>床垫</t>
  </si>
  <si>
    <t>1、面料：需用牛筋布面料，透气防水耐脏，吸湿排汗，清洁方便；
2、内芯：半棕半棉，采用环保椰棕和高弹海绵，密度大，回弹性好；
3、厚度：6cm。</t>
  </si>
  <si>
    <t>常规</t>
  </si>
  <si>
    <t>床头柜</t>
  </si>
  <si>
    <t>1、面材：采用E1级优质浸渍胶膜纸饰面刨花板，符合GB/T 15102-2017 浸渍胶膜纸饰面纤维板和刨花板和GB/T 35601-2017 绿色产品评价 人造板和木质地板，静曲强度（mpa)≥11，弹性模量（mpa)≥1600，内结合强度（mpa)≥0.35，握螺钉力面板≥900N，板边≥600N，甲醛释放量≤0.023mg/m3；
2、PVC封边条：符合QB/T4463-2013耐开裂性（耐龟裂性）≥2级，耐光色牢度（灰色样卡）≥4级，甲醛释放量≤0.1mg/L，可溶性重金属铅、镉、铬、汞、均未检出；
3、五金件：选用品牌优质五金配件，缓冲铰链：符合QB/T 3827-1999《轻工产品金属镀层和化学处理层的耐腐蚀试验方法 乙酸盐雾试验（ASS）法》，QB/T 3832-1999《轻工产品金属镀层腐蚀实验结构评价》，乙酸盐雾要求连续喷雾460小时及以上，金属表面耐腐蚀等级达到10级。</t>
  </si>
  <si>
    <t>500*400*600</t>
  </si>
  <si>
    <t>衣柜</t>
  </si>
  <si>
    <t>3600*500*2200</t>
  </si>
  <si>
    <t>写字椅</t>
  </si>
  <si>
    <t>1、面材：采用品牌优质环保西皮，符合GB 20400-2006《皮革和毛皮 有害物质限量》标准，禁用偶氮燃料（mg/kg）未检出，游离甲醛（mg/kg）≤7.4；
2、海绵：优质品牌环保聚氨酯泡沫塑料海绵，符合GB/T 10802-2006《通用软质聚醚型聚氨酯泡沫塑料》标准，75%压缩永久变形（%）≤4.4，回弹率（%）≥40，拉伸强度（kpa）≥138，伸长率（%）≥160，撕裂强度（N/cm）≥2.7；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4、框架：优质曲木框架。</t>
  </si>
  <si>
    <t>把</t>
  </si>
  <si>
    <t>服务前台</t>
  </si>
  <si>
    <r>
      <rPr>
        <sz val="10"/>
        <rFont val="仿宋"/>
        <charset val="134"/>
      </rPr>
      <t>1、面材：优质环保实木木皮，甲醛释放量（mg/L）A≤0.2,厚度≥0.6mm；
2、基材：优质品牌E1级中纤板，符合GB/T 11718-2009《中密度纤维板》、CCGF 407.6-2015《中密度纤维板产品质量监督抽查实施规范》标准，吸水厚度膨胀率（%）B≤8.1，静曲强度（MPa）B≥24,内结合强度（MPa）B≥0.6，表面结合强度（MPa）B≥0.93，甲醛释放量（mg/m</t>
    </r>
    <r>
      <rPr>
        <sz val="10"/>
        <rFont val="宋体"/>
        <charset val="134"/>
      </rPr>
      <t>³</t>
    </r>
    <r>
      <rPr>
        <sz val="10"/>
        <rFont val="仿宋"/>
        <charset val="134"/>
      </rPr>
      <t>）A≤0.084；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4、台面：人造石材。</t>
    </r>
  </si>
  <si>
    <t>3600*700*760</t>
  </si>
  <si>
    <t>职员椅</t>
  </si>
  <si>
    <t>1、基材：采用优质阻燃面料，阻燃面料符合GB 18401-2010、GB 17927.1-2011标准，甲醛含量未检出，无异味，染色牢度-耐水色牢度、染色牢度-耐干摩擦色牢度均达到4级或以上，可分解致癌芳香胺染料未检出，抗引燃特性符合GB17927（阴燃的香烟）1级，抗拉性好，经防静电、防尘处理；
2、海绵：采用优质定型海绵，海绵符合GB/T 10802-2006、GB 17927.1-2011、GB 17927.2-2011标准， 25％压陷硬度≥120N，65％/25％压陷比≥2.8，75％压缩永久变形≤8%，回弹率≥40%，拉伸强度 ≥190kPa，伸长率≥190%，撕裂强度≥2N/cm，干热老化后拉伸强度≥180kPa。
3、质感：软硬度适中，回弹性能良好，不变形。能均匀承托负重，在常期负重状态下性能保持良好；
4、椅背：尼龙加玻纤背架+边条连接，可调节腰包；
5、扶手及脚架：配PP扶手，优质黑色汽杆，尼龙五星脚架，φ60MM PU黑色轮。</t>
  </si>
  <si>
    <t>茶几</t>
  </si>
  <si>
    <t>1、台面多层实木贴皮；
2、优质铝合金支撑架。
3.规格为茶几高度750mm、直径600mm</t>
  </si>
  <si>
    <t>沙发</t>
  </si>
  <si>
    <t>1、面材：采用品牌优质环保西皮，符合GB 20400-2006《皮革和毛皮 有害物质限量》标准，禁用偶氮燃料（mg/kg）未检出，游离甲醛（mg/kg）≤7.4；
2、海绵：优质品牌环保聚氨酯泡沫塑料海绵，符合GB/T 10802-2006《通用软质聚醚型聚氨酯泡沫塑料》标准，75%压缩永久变形（%）≤4.4，回弹率（%）≥40，拉伸强度（kpa）≥138，伸长率（%）≥160，撕裂强度（N/cm）≥2.7；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4、框架：优质实木框架。</t>
  </si>
  <si>
    <t>单人位</t>
  </si>
  <si>
    <t>办公桌</t>
  </si>
  <si>
    <t>1、面材：采用E1级优质浸渍胶膜纸饰面刨花板，符合GB/T 15102-2017 浸渍胶膜纸饰面纤维板和刨花板和GB/T 35601-2017 绿色产品评价 人造板和木质地板，静曲强度（mpa)≥11，弹性模量（mpa)≥1600，内结合强度（mpa)≥0.35，握螺钉力面板≥900N，板边≥600N，甲醛释放量≤0.023mg/m3；
2、PVC封边条：符合QB/T4463-2013耐开裂性（耐龟裂性）≥2级，耐光色牢度（灰色样卡）≥4级，甲醛释放量≤0.1mg/L，可溶性重金属铅、镉、铬、汞、均未检出；
3、五金件：选用品牌优质五金配件；三折钢珠滑轨耐腐蚀达到18h，1.5mm以下锈点不应超过20点/dm2，当操作力M&lt;40kg时，推力或拉力≤50N，抽屉导轨组件底部变形量不应超过内部尺寸（宽度和深度）最窄部分的1/75，下沉量不应超过抽屉导轨拉出长度的4%。</t>
  </si>
  <si>
    <t>1400*700*750</t>
  </si>
  <si>
    <t>值班椅</t>
  </si>
  <si>
    <t>值班床</t>
  </si>
  <si>
    <t>1、面材：采用E1级优质浸渍胶膜纸饰面刨花板，符合GB/T 15102-2017 浸渍胶膜纸饰面纤维板和刨花板和GB/T 35601-2017 绿色产品评价 人造板和木质地板，静曲强度（mpa)≥11，弹性模量（mpa)≥1600，内结合强度（mpa)≥0.35，握螺钉力面板≥900N，板边≥600N，甲醛释放量≤0.023mg/m3；
2、PVC封边条：符合QB/T4463-2013耐开裂性（耐龟裂性）≥2级，耐光色牢度（灰色样卡）≥4级，甲醛释放量≤0.1mg/L，可溶性重金属铅、镉、铬、汞、均未检出；
3、五金件：选用品牌优质五金配件；
4、海绵：采用优质定型海绵，海绵符合GB/T 10802-2006、GB 17927.1-2011、GB 17927.2-2011标准， 25％压陷硬度≥120N，65％/25％压陷比≥2.8，75％压缩永久变形≤8%，回弹率≥40%，拉伸强度 ≥190kPa，伸长率≥190%，撕裂强度≥2N/cm，干热老化后拉伸强度≥180kPa。</t>
  </si>
  <si>
    <t>1200*2000*450</t>
  </si>
  <si>
    <t>1、面料：环保布艺面料，透气性好，吸湿排汗；
2、内芯：半棕半棉，采用环保椰棕和高弹海绵，密度大，回弹性好；
3、厚度：5cm。</t>
  </si>
  <si>
    <t>文件柜</t>
  </si>
  <si>
    <t>1、采用一级冷轧钢板符合GB/T 3325-2017、QB/T 3832-1999、QB/T 3827-1999标准，乙酸盐雾试验连续喷雾时间≥460h，检测结果等级达到10级。
2、工艺：金属件表层先经过除油、除锈、酸洗、磷化后再采用高压静电喷涂，表面烤漆处理，无焊点造型美观。
3、涂层:静电喷涂粉末，抗撞击、耐腐蚀性强、光泽性好、附着力强、整体采用灰色亚光漆，符合GB/T 3325-2017金属家具通用技术条件，重金属（可溶性铅、可溶性镉、可溶性铬、可溶性汞）未检出。</t>
  </si>
  <si>
    <t>850*400*1800</t>
  </si>
  <si>
    <t>护理台</t>
  </si>
  <si>
    <t>直径5厘米园形腿、防滑可调节底脚，环保皮革面料、防水耐磨易打理，高密底可回弹海绵。头部升降可调。</t>
  </si>
  <si>
    <t>800*1900</t>
  </si>
  <si>
    <t>座板、靠背为加强pp材质，金属拼接，轴、支撑柱脚等为金属材质，靠背高75至90cm;高度可升降调节，可360底旋转，颜色可选。材料环保健康、边角园润。</t>
  </si>
  <si>
    <t>40*90</t>
  </si>
  <si>
    <t>休闲椅</t>
  </si>
  <si>
    <t>药品治疗
处置柜</t>
  </si>
  <si>
    <t>高密度板，钢化防爆玻璃，四门、三抽、两柜；</t>
  </si>
  <si>
    <t>1800*1200*360</t>
  </si>
  <si>
    <t>医疗设备柜</t>
  </si>
  <si>
    <t>不锈钢材质，3C认证钢化玻璃，防盗锁具，每层承重力50KG以上，</t>
  </si>
  <si>
    <t>1800*900*500</t>
  </si>
  <si>
    <t>检查床</t>
  </si>
  <si>
    <t>1、面材：采用品牌优质环保西皮，符合GB 20400-2006《皮革和毛皮 有害物质限量》标准，禁用偶氮燃料（mg/kg）未检出，游离甲醛（mg/kg）≤7.4；
2、海绵：优质品牌环保聚氨酯泡沫塑料海绵，符合GB/T 10802-2006《通用软质聚醚型聚氨酯泡沫塑料》标准，75%压缩永久变形（%）≤4.4，回弹率（%）≥40，拉伸强度（kpa）≥138，伸长率（%）≥160，撕裂强度（N/cm）≥2.7；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4、框架：优质橡胶木实木，甲醛释放量（mg/L）、实木中五氯苯酚（PCP）均未检出，
木材抗弯强度（Mpa）≥104，木材气干密度（g/cm）≥0.60。</t>
  </si>
  <si>
    <t>厂规</t>
  </si>
  <si>
    <t>处置椅</t>
  </si>
  <si>
    <t>6*60钢管腿、防滑可调节底脚，环保皮革面料、防水耐磨易打理，高密底可回弹海绵。头部、脚部升降可调。</t>
  </si>
  <si>
    <t>1800*650*700</t>
  </si>
  <si>
    <t>会议条桌</t>
  </si>
  <si>
    <r>
      <rPr>
        <sz val="10"/>
        <rFont val="仿宋"/>
        <charset val="134"/>
      </rPr>
      <t>1、面材：优质环保实木木皮，甲醛释放量（mg/L）A≤0.2,厚度≥0.6mm；
2、基材：优质品牌E1级中纤板，符合GB/T 11718-2009《中密度纤维板》、CCGF 407.6-2015《中密度纤维板产品质量监督抽查实施规范》标准，吸水厚度膨胀率（%）B≤8.1，静曲强度（MPa）B≥24,内结合强度（MPa）B≥0.6，表面结合强度（MPa）B≥0.93，甲醛释放量（mg/m</t>
    </r>
    <r>
      <rPr>
        <sz val="10"/>
        <rFont val="宋体"/>
        <charset val="134"/>
      </rPr>
      <t>³</t>
    </r>
    <r>
      <rPr>
        <sz val="10"/>
        <rFont val="仿宋"/>
        <charset val="134"/>
      </rPr>
      <t>）A≤0.084；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4、白乳胶：优质品牌白乳胶，符合GB 18583-2008《室内装饰装修材料 胶粘剂中有害物质限量》标准，不挥发物（%）≥24，pH值合格，粘度（Pa·s）≥3，总挥发性有机物含量（g/L）≤102，苯（g/kg）、甲苯+二甲苯（g/kg）、游离甲醛（g/kg）均未检出；
5、五金件：选用品牌优质五金配件。</t>
    </r>
  </si>
  <si>
    <t>3000*1200*750</t>
  </si>
  <si>
    <t>会议椅</t>
  </si>
  <si>
    <t>1、基材：采用优质阻燃面料，阻燃面料符合GB 18401-2010、GB 17927.1-2011标准，甲醛含量未检出，无异味，染色牢度-耐水色牢度、染色牢度-耐干摩擦色牢度均达到4级或以上，可分解致癌芳香胺染料未检出，抗引燃特性符合GB17927（阴燃的香烟）1级，抗拉性好，经防静电、防尘处理；
2、海绵：优质品牌环保聚氨酯泡沫塑料海绵，符合GB/T 10802-2006《通用软质聚醚型聚氨酯泡沫塑料》标准，75%压缩永久变形（%）≤4.4，回弹率（%）≥40，拉伸强度（kpa）≥138，伸长率（%）≥160，撕裂强度（N/cm）≥2.7；
3、框架：优质弓形脚架。</t>
  </si>
  <si>
    <t>茶水柜</t>
  </si>
  <si>
    <t>1200*400*800</t>
  </si>
  <si>
    <t>1、基材：优质橡胶木实木；
3、油漆：优质牌环保水性油漆，符合GB/T23999-2009《室内装饰装修用水性木器涂料》、GB24410-2009《室内装饰装修材料 水性木器涂料中有害物质限量》标准，附着力（级）≤1，细度（μm）≤27；挥发性有机化合物含量（g/L）≤126，苯系物含量（mg/kg）未检出，游离甲醛（mg/kg）≤12。</t>
  </si>
  <si>
    <t>2140*1000*1800</t>
  </si>
  <si>
    <t>储物柜</t>
  </si>
  <si>
    <t>800*500*2200</t>
  </si>
  <si>
    <t>4人位餐桌</t>
  </si>
  <si>
    <r>
      <rPr>
        <sz val="10"/>
        <rFont val="仿宋"/>
        <charset val="134"/>
      </rPr>
      <t>1、面材：优质环保实木木皮，甲醛释放量（mg/L）A≤0.2,厚度≥0.6mm；
2、基材：优质品牌E1级中纤板，符合GB/T 11718-2009《中密度纤维板》、CCGF 407.6-2015《中密度纤维板产品质量监督抽查实施规范》标准，吸水厚度膨胀率（%）B≤8.1，静曲强度（MPa）B≥24,内结合强度（MPa）B≥0.6，表面结合强度（MPa）B≥0.93，甲醛释放量（mg/m</t>
    </r>
    <r>
      <rPr>
        <sz val="10"/>
        <rFont val="宋体"/>
        <charset val="134"/>
      </rPr>
      <t>³</t>
    </r>
    <r>
      <rPr>
        <sz val="10"/>
        <rFont val="仿宋"/>
        <charset val="134"/>
      </rPr>
      <t>）A≤0.084；
3、油漆：优质牌环保水性油漆，符合GB/T23999-2009《室内装饰装修用水性木器涂料》、GB24410-2009《室内装饰装修材料 水性木器涂料中有害物质限量》标准，附着力（级）≤1，细度（μm）≤27；挥发性有机化合物含量（g/L）≤126，苯系物含量（mg/kg）未检出，游离甲醛（mg/kg）≤12；
4、白乳胶：优质品牌白乳胶，符合GB 18583-2008《室内装饰装修材料 胶粘剂中有害物质限量》标准，不挥发物（%）≥24，pH值合格，粘度（Pa·s）≥3，总挥发性有机物含量（g/L）≤102，苯（g/kg）、甲苯+二甲苯（g/kg）、游离甲醛（g/kg）均未检出；
5、五金件：选用品牌优质五金配件；
6、脚架：优质橡胶木实木，甲醛释放量（mg/L）、实木中五氯苯酚（PCP）均未检出，
木材抗弯强度（Mpa）≥104，木材气干密度（g/cm）≥0.60。</t>
    </r>
  </si>
  <si>
    <t>1500*700*750</t>
  </si>
  <si>
    <t>餐椅</t>
  </si>
  <si>
    <t>书画阅览桌</t>
  </si>
  <si>
    <t>2000*900*750</t>
  </si>
  <si>
    <t>阅读椅</t>
  </si>
  <si>
    <t xml:space="preserve">
1、基材：优质实木；
3、油漆：优质牌环保水性油漆，符合GB/T23999-2009《室内装饰装修用水性木器涂料》、GB24410-2009《室内装饰装修材料 水性木器涂料中有害物质限量》标准，附着力（级）≤1，细度（μm）≤27；挥发性有机化合物含量（g/L）≤126，苯系物含量（mg/kg）未检出，游离甲醛（mg/kg）≤12。
</t>
  </si>
  <si>
    <t>书架</t>
  </si>
  <si>
    <t>5600*350*2000</t>
  </si>
  <si>
    <t>机麻桌</t>
  </si>
  <si>
    <t>1、空间：台面下全空设计，座椅。腿部摆放更加舒适自由。 2、一桌多用：两用台面设计，拿开盖板就是麻将棋牌桌，盖上则变身普通用桌，一桌多用。3、台布：选用较厚2.5mm高密度植绒麻将桌布，具有超强的恢复能力。台布表面绒毛平整，不掉毛。配套4把椅子。</t>
  </si>
  <si>
    <t>850*850*750</t>
  </si>
  <si>
    <t>台</t>
  </si>
  <si>
    <t>书画桌</t>
  </si>
  <si>
    <t>隔断架</t>
  </si>
  <si>
    <t>优质钢架，实木隔板喷环保水性油漆。</t>
  </si>
  <si>
    <t>3600*400*2000</t>
  </si>
  <si>
    <t>按摩椅</t>
  </si>
  <si>
    <t>1、面材：精选按摩椅专用PU皮，亲肤耐磨；2、气囊数量（个）：30；3、导轨：120cmSL型 导轨；4： 按摩部位： 头颈按摩，手臂按摩特色功能；5、HiFi迷你小音箱：按摩和音乐双重享受；6、自动按摩程序：一体式控制遥控开关；7、热敷功能：背腰热敷； 8、头枕：舒适可拆卸；9、机芯模式：多点推拿按摩。</t>
  </si>
  <si>
    <t>床</t>
  </si>
  <si>
    <t>衣柜（嵌入式）</t>
  </si>
  <si>
    <t>实木沙发（三人位）</t>
  </si>
  <si>
    <t>三位1720*730*770</t>
  </si>
  <si>
    <t>陪护椅</t>
  </si>
  <si>
    <t>1、面料;防腐蚀抗菌面料；
2、海绵：高弹海绵；
3、碳钢框架。</t>
  </si>
  <si>
    <t>马桶上翻扶手带支撑</t>
  </si>
  <si>
    <t>不锈钢+尼龙。</t>
  </si>
  <si>
    <t>600*750</t>
  </si>
  <si>
    <t>折叠淋浴椅</t>
  </si>
  <si>
    <t>一字扶手</t>
  </si>
  <si>
    <t>405*350</t>
  </si>
  <si>
    <t>双层角篮</t>
  </si>
  <si>
    <t>太空铝或不锈钢</t>
  </si>
  <si>
    <t>350*220*220mm</t>
  </si>
  <si>
    <t>双层浴巾架</t>
  </si>
  <si>
    <t>600*220*190mm</t>
  </si>
  <si>
    <t>纸巾盒</t>
  </si>
  <si>
    <t>160*60mm</t>
  </si>
  <si>
    <t>晾衣杆（含吊杆）</t>
  </si>
  <si>
    <t>不锈钢</t>
  </si>
  <si>
    <t>直径25mm,两端座子钉墙上，中间加吊杆</t>
  </si>
  <si>
    <t>二</t>
  </si>
  <si>
    <t>电视</t>
  </si>
  <si>
    <t>43寸LED电视机</t>
  </si>
  <si>
    <t>外型尺寸: 978.7* 572.1* 88.3MM安卓系统，运行512MB / 内存4GB 酒店电视 开机画面，开机视频，智能网路，HDMI，络接口，分辨率: 1920*1080，无线WIFI，LED节能。</t>
  </si>
  <si>
    <t>50寸电视机</t>
  </si>
  <si>
    <t>外型尺寸: 1078.8*631.3*89.8MM，2K 人工智能，遥控器语音操控，超窄,钢化防爆。</t>
  </si>
  <si>
    <t>75寸电视机</t>
  </si>
  <si>
    <t>外型尺寸：1675*962*99MM，4K 高清智能，远场语音遥控，QLED量子点。网络平板、可投屏、液晶电视，HDMI接口数2个及以上，刷屏率120HZ及以上。</t>
  </si>
  <si>
    <t>三</t>
  </si>
  <si>
    <t>厨房设备及抽排系统</t>
  </si>
  <si>
    <t>米面台</t>
  </si>
  <si>
    <t>1.所有不锈钢板采用磨砂贴塑板；
2、面板采用1.2mm不锈钢板，底面采用38*25*1.0mm管加固；
3、支撑立管采用φ50*1.0mm不锈钢管，并配有φ50mm可调节脚；</t>
  </si>
  <si>
    <t>1000*500*300</t>
  </si>
  <si>
    <t>平板车</t>
  </si>
  <si>
    <t>1.所有不锈钢板采用优质磨砂贴塑板；
2.车面板采用δ1.0mm不锈钢板；
3.推手采用Ф38*1.2mm不锈钢管；
4.底部装有2个万向承重轮和2个定向承重轮。</t>
  </si>
  <si>
    <t>850*600*850</t>
  </si>
  <si>
    <t>粘捕式灭蝇灯</t>
  </si>
  <si>
    <t>1.粘捕式灭蝇灯通过内置的可揭型抗UV粘虫板捕虫。
2.不造成二次污染，且有利于监测虫害种类和数量、趋势。
3.可揭型抗UV粘虫板要在荧光灯照射下，三个月内要保持有粘性。</t>
  </si>
  <si>
    <t>双管8W</t>
  </si>
  <si>
    <t>四层栅格层架</t>
  </si>
  <si>
    <t>1.全部采用不锈钢管制作而成； 
2.支撑立管采用38×38×1.2mm不锈钢管，并配有38mm方形可调脚；
3.存放台的框架管采用38×25×1.2mm不锈钢管； 
4.存放台的横块采用25×13×1.2mm不锈钢管。</t>
  </si>
  <si>
    <t>1200*500*1550</t>
  </si>
  <si>
    <t>双管9W</t>
  </si>
  <si>
    <t>双层操作台</t>
  </si>
  <si>
    <t>1.所有不锈钢板采用磨砂贴塑板；
2.面板选用δ1.2mm不锈钢板，下层板选用δ1.0mm不锈钢板；
3.面板下紧密粘贴有木板，面板和下层板均配作有结构加强筋板；
4.台支撑脚管采用Ф38×1.0mm不锈钢管，并配有Ф38mm可调脚。</t>
  </si>
  <si>
    <t>1800*800*800</t>
  </si>
  <si>
    <t>单星水池</t>
  </si>
  <si>
    <t>1.所有不锈钢板采用磨砂贴塑板；
2.面板用δ1.0mm洗槽选用δ1.0mm不锈钢板；
3.面板配作有结构加强筋板；
4.支撑脚管采用Ф38×1.0mm不锈钢管，并配有Ф38mm可调脚；
5.连接横管采用Ф25×1.0mm不锈钢管。</t>
  </si>
  <si>
    <t>1000*700*920</t>
  </si>
  <si>
    <t>四门冰柜</t>
  </si>
  <si>
    <t xml:space="preserve">1.内藏板管式蒸发器,换热效率高,制冷效果好;
2.产品全部采用名牌压缩机,内置双压缩机，质量可靠,性能稳定;
3.全部采用聚氨脂高压发泡,箱体强度高,保温性能好;
4.冷凝器有可拆式滤网，方便维护；
5.产品达到1级能效等级、有效容积：≥925L、额定功率：≤428W、总能量消耗：≤2.07kWh/24h，提供CMA标识能源效率检测报告复印件佐证；
6.产品具有《食品接触产品卫生认证证书》，提供证书复印件；
性能要求：冷柜正常工作噪音≤51dB（A）、冷冻能力≥5kg/24h、通过静电放电抗扰度试验、提供CMA标识检测报告复印件佐证型号与投标产品一致。
</t>
  </si>
  <si>
    <t>1200*700*1900</t>
  </si>
  <si>
    <t>多功能绞切机</t>
  </si>
  <si>
    <t>1、机身采用不锈钢，电机用的铜芯线。
2、外形尺寸：560*480*710mm；功率：1.1KW；电压：220V或380V。
3、外壳采用不锈钢板制作，切肉绞馅功能于一体，切面组织新鲜，适用于肉类切片、切丝、绞馅、灌肠。
4、生产效率：400kg/h（片）、200kg/h（丝）、200kg/h（绞肉）、180kg/h（灌肠）。</t>
  </si>
  <si>
    <t>600*430*800</t>
  </si>
  <si>
    <t>单管8W</t>
  </si>
  <si>
    <t>单头平头炉</t>
  </si>
  <si>
    <t xml:space="preserve">1.所有不锈钢板采用磨砂贴塑板；
2.炉灶框沿采用δ1.0mm不锈钢板，前群板、侧群板和后背板采用δ1.0mm不锈钢板；
3.主骨架采用40×4mm角钢，炉面衬板、炉膛采用δ1.5mm A3铁板；
4.炉脚采用DN50钢管外套Ф51×1.0mm不锈管，下部装有m24可调螺栓；
5.安装有优质气阀，配有500×500mm铸铁花架；
6.炉头采用高效节能无鼓风自燃喷射炉头。                     </t>
  </si>
  <si>
    <t>700*700*550</t>
  </si>
  <si>
    <t>炉拼台</t>
  </si>
  <si>
    <t>1、所有不锈钢板采用磨砂贴塑板；
2、工作台的面板选用优质厚度1.2mm不锈钢腹膜磨砂板，
3、工作台的支撑脚管选用Ф50*1.0mm不锈钢管
4、工作台的支撑脚底部装配有Ф38mm不锈钢可调脚，调教范围为上下30mm;</t>
  </si>
  <si>
    <t>350*1150*1200</t>
  </si>
  <si>
    <t>单头大锅灶</t>
  </si>
  <si>
    <t>1.所有不锈钢板采用磨砂贴塑板；
2.面板采用δ1.0mm不锈钢板，炉灶框沿采用δ1.2mm不锈钢板，前群板、侧群板和后背板采用δ1.0mm不锈钢板；
3.主骨架采用40×4mm角钢，炉面衬板、炉膛采用δ1.5mm A3铁板，衬板与面板间垫隔有石棉隔热材料；
4.炉脚采用DN50钢管外套Ф51×1.0mm不锈管，下部装有m24可调螺栓；
5.安装有优质摇摆水龙头、气阀、风阀，配有点火棒和隔渣水槽盖；
6.炉头采用黄伟5寸炉头，风机采用永丰仿西德中压风机，功率550w，电压220V。
7.灶具配置熄火保护装置，自动打火装置。</t>
  </si>
  <si>
    <t>11500*1150*1200</t>
  </si>
  <si>
    <t>单头单尾炉</t>
  </si>
  <si>
    <t>1.所有不锈钢板采用磨砂贴塑板；
2.面板采用δ1.2mm不锈钢板，炉灶框沿采用δ1.2mm不锈钢板，前群板、侧群板和后背板采用δ1.0mm不锈钢板；
3.主骨架采用40×4mm角钢，炉面衬板、炉膛采用δ1.5mm A3铁板，衬板与面板间垫隔有石棉隔热材料；
4.炉脚采用DN50钢管外套Ф51×1.0mm不锈管，下部装有m24可调螺栓；
5.安装有优质摇摆水龙头、气阀、风阀，配有点火棒和隔渣水槽盖；
6.炉头采用黄伟5寸炉头，风机采用永丰仿西德中压风机，功率250w，电压220V。
7.灶具配置熄火保护装置，自动打火装置。</t>
  </si>
  <si>
    <t>1100*1150*1200</t>
  </si>
  <si>
    <t>调料车</t>
  </si>
  <si>
    <t>1、调料存放箱采用1.0mm厚不锈钢板制作；
2、底部装有2个万向承重轮和2个定向承重轮。</t>
  </si>
  <si>
    <t>单门蒸饭柜
  (燃气)</t>
  </si>
  <si>
    <t>1.所有不锈钢板采用304#磨砂贴塑板；
2.上座柜身采用δ1.2mm不锈钢板，后背板、顶板和底板采用δ1.0mm不锈钢板，门板采用δ1.0mm不锈钢板，下座面板采用δ1.5mm不锈钢板，下座框沿采用δ1.0mm不锈钢板，前群板和侧群板采用1.0mm不锈钢板；
3.主骨架采用40×4mm角钢，燃烧蒸汽水胆采用δ1.5mm不锈钢板，并装配有自动进水装置；
4.炉脚采用DN50钢管，下部装有m24可调螺栓；
5.灶具配置熄火保护装置，自动打火装置。</t>
  </si>
  <si>
    <t>12盘</t>
  </si>
  <si>
    <t>700*700*920</t>
  </si>
  <si>
    <t>单通工作台</t>
  </si>
  <si>
    <t xml:space="preserve">1.所有不锈钢采用优质磨砂不锈钢；
2.面板采用1.2mm厚不锈钢板，面板下垫18mm的细木工板，底面采用1.0mm不锈钢封板封底；                                  
3.门板及围板采用为1.0mm不锈钢腹膜磨砂板并采用左右推拉式滑门；
4.台脚采用φ51*1.2mm厚不锈钢管、配可调节脚.；                                                
5.结构合理，手接触部位无飞边毛刺，受力部位均满焊连接. </t>
  </si>
  <si>
    <t>1.所有不锈钢板采用磨砂贴塑板；
2.面板选用δ1.0mm不锈钢板，下层板选用δ1.0mm不锈钢板；
3.面板下紧密粘贴有木板，面板和下层板均配作有结构加强筋板；
4.台支撑脚管采用Ф38×1.0mm不锈钢管，并配有Ф38mm可调脚。</t>
  </si>
  <si>
    <t>开水器连座</t>
  </si>
  <si>
    <t>容积：35L
功率：6KW/380V全不锈钢外壳；设防缺水干烧保护功能，缺水时可自动切断整机电源；全自动进水功能，缺水自补，满水自停；全自动温控功能。</t>
  </si>
  <si>
    <t>6KW\380V</t>
  </si>
  <si>
    <t>木案工作台</t>
  </si>
  <si>
    <t>1.台面材料采用50mm厚木板；框架采用不锈钢砂纹板制作，厚度1.0mm；
2.横通采用Ø32*1.0mm不锈钢管连接；立柱采用Ø51*1.2mm不锈钢圆管连可调节不锈钢子弹脚；</t>
  </si>
  <si>
    <t>1800*700*800</t>
  </si>
  <si>
    <t>食品留样柜</t>
  </si>
  <si>
    <t>1.内藏板管式蒸发器,换热效率高,制冷效果好;
2.产品全部采用名牌压缩机,内置双压缩机，质量可靠,性能稳定;
3、全部采用聚氨脂高压发泡,箱体强度高,保温性能好;
4、冷凝器有可拆式滤网，方便维护；
5、温度：2℃—+10℃</t>
  </si>
  <si>
    <t>500*450*1700</t>
  </si>
  <si>
    <t>保温售卖台</t>
  </si>
  <si>
    <t>1.台面不锈钢板采用磨砂贴塑板；
2.面板采用δ1.0mm加热水盆采用δ1.0mm不锈钢板；
3.装有自控温电热管，功率：3KW/220V。
4.支撑脚管采用38*38*1.2mm不锈钢管，下部装有方形38可调脚。</t>
  </si>
  <si>
    <t>售卖台</t>
  </si>
  <si>
    <t>电煮面炉</t>
  </si>
  <si>
    <t>采用双层不锈钢隔热处理，9kw/380v，功率可三档调节。</t>
  </si>
  <si>
    <t>Φ500*770</t>
  </si>
  <si>
    <t>1500*600*800</t>
  </si>
  <si>
    <t>热风循环高
 温消毒柜</t>
  </si>
  <si>
    <t xml:space="preserve">1、材质:不锈钢门不带轮
2、消毒方式:采用中、高温烘干方式消毒，具有高效节能，杀菌无死角，寿命长等特点。对各种细菌、病毒、破坏乙肝表面抗原的杀灭率达99.9%，杀毒效果符合国家标准要求。
3、消毒性能：二星级消毒柜红外线消毒因子，高温消毒120℃以上保持时间≥25min，对大肠杆菌杀灭对数值＞3（阳性对照组平均对数值≥6），对脊髓灰质炎病毒平均灭活对数值＞4.00（阳性对照组平均病毒滴度的对数值≥6.2），对金黄色葡萄球菌杀灭对数值＞3（阳性对照组平均对数值≥6.2），提供第三方检测机构出具的CMA检测报告复印件并提供消毒产品卫生安全评价报告复印件。
4、产品配置：①双门双室独立控制（双室双控）、②高压整体发泡保温层，具有保温功能、③配机械式定时器及温控器，满足定时定温功能。提供第三方检测机构出具的CMA检测报告复印件佐证以上参数；
</t>
  </si>
  <si>
    <t>1200*530*1800</t>
  </si>
  <si>
    <t>四门保洁柜</t>
  </si>
  <si>
    <t>1.所有不锈钢板采用磨砂贴塑板；
2.柜身板选用δ1.0mm不锈钢板，背板选用δ1.0mm不锈钢板；
3.柜内层板、门板选用δ1.0mm不锈钢板；
4.柜台支撑脚管采用Ф51mm不锈钢管，并配有Ф51mm可调脚。</t>
  </si>
  <si>
    <t>1200*500*1800</t>
  </si>
  <si>
    <t>电热水器</t>
  </si>
  <si>
    <t>采用无缝内胆，抗腐抗垢，搪瓷涂层三重保护，出水无需断电，温度可调，即开即用，安全防护。</t>
  </si>
  <si>
    <t>60L</t>
  </si>
  <si>
    <t>双层备餐台</t>
  </si>
  <si>
    <t>抽油烟罩</t>
  </si>
  <si>
    <t>1.所有不锈钢板采用优质磨砂贴塑板；
2.主体采用δ1.0mm不锈钢板；
3.配有油烟集油盒。</t>
  </si>
  <si>
    <t>L*1200*500</t>
  </si>
  <si>
    <t>米</t>
  </si>
  <si>
    <t>油烟网</t>
  </si>
  <si>
    <t>采用磨砂贴塑板不锈钢制成， 防水,耐低温,耐高温,耐酸,防火,耐碱，用于油气分离</t>
  </si>
  <si>
    <t>500*500</t>
  </si>
  <si>
    <t>低噪音双进风风柜</t>
  </si>
  <si>
    <t>风量：19000-21500m³/h,
全压：700-550PA,
转速：750rpm.</t>
  </si>
  <si>
    <t>7.5KW\380v</t>
  </si>
  <si>
    <t>油烟净化器</t>
  </si>
  <si>
    <t xml:space="preserve">1、油烟净化器排放浓度达到1.0mg/m3,符合HJ/T62-2001的规定要求;
2、模块化设计可串联多元组合，增强净化功能。结构形式灵活，根据需求自由选择安装方便快捷。
3、静电电源控制系统具有过流过压保护，和断路保护特性，确保设备运行安全稳定。
4、设备采用低压变频控制，有效节能降耗，风道通风阻力小，设备噪音低，为用户创造舒适安逸的环境。静电磁场用不锈钢板:满足GB/T3280-2015《不锈钢冷轧钢板和钢带》、GB/T10125-2012《人造气氛腐蚀试验 盐雾试验》、GB/T6461-2002《金属基体上金属和其它无机覆盖层经腐蚀试验后的试样和试件的评级》要求，塑性延伸强度Rp0.2(MPa)≥430、抗拉强度Rn(MPa)≥730、断后伸长率A50mm(%)≥48、经150h的中性盐雾试验后无任何腐蚀缺陷、外观评级RA为10级。提供相关检验报告复印件。
5、执行重庆市餐饮业大气污染物排放标准（DB 50/859-2018）。油烟排放浓度不超过1.0mg/m3、非甲烷总烃排放浓度不超过10.0mg/m3。 </t>
  </si>
  <si>
    <t>16000m3/h</t>
  </si>
  <si>
    <t>不锈钢封墙板</t>
  </si>
  <si>
    <t>采用1.0mm厚优质不锈钢板制作</t>
  </si>
  <si>
    <t>L*1000*20</t>
  </si>
  <si>
    <t>镀锌烟管</t>
  </si>
  <si>
    <t>采用1.0mm厚优质镀锌板制作</t>
  </si>
  <si>
    <t>480*480</t>
  </si>
  <si>
    <t>米2</t>
  </si>
  <si>
    <t>法兰</t>
  </si>
  <si>
    <t>采用30角钢制作</t>
  </si>
  <si>
    <t>定制</t>
  </si>
  <si>
    <t>风机支架</t>
  </si>
  <si>
    <t>采用6#钢制作</t>
  </si>
  <si>
    <t>根据现场尺寸定制</t>
  </si>
  <si>
    <t>油烟净化器支架</t>
  </si>
  <si>
    <t>采用6#槽钢制作</t>
  </si>
  <si>
    <t>风机减震座</t>
  </si>
  <si>
    <t>采用坐式阻尼弹簧减震，表面喷塑烤漆，每个荷载≥150KG，每台设备安装四个，与设备支架固定安装。</t>
  </si>
  <si>
    <t>与风机匹备，缓减共震</t>
  </si>
  <si>
    <t>风机控制箱</t>
  </si>
  <si>
    <t>风机电力控制系统，内置空开、漏电保护器、缺相保护器、过流保护器、 电器元器件采用合格品牌；</t>
  </si>
  <si>
    <t>风机匹配</t>
  </si>
  <si>
    <t>镀锌弯头</t>
  </si>
  <si>
    <t>采用1.0㎜镀锌板制作；</t>
  </si>
  <si>
    <t>镀锌变径</t>
  </si>
  <si>
    <t>软接</t>
  </si>
  <si>
    <t>采用优质1.0mm防油帆布。</t>
  </si>
  <si>
    <t>风机线</t>
  </si>
  <si>
    <t>国优产品，满足设备使用负荷</t>
  </si>
  <si>
    <t>4*3+2.5*2</t>
  </si>
  <si>
    <t>接油盘</t>
  </si>
  <si>
    <t>采用δ1.0mm镀锌板制造，带放油阀。</t>
  </si>
  <si>
    <t>止回阀</t>
  </si>
  <si>
    <t>采用1.0mm镀锌板板制作。</t>
  </si>
  <si>
    <t>防火阀</t>
  </si>
  <si>
    <t>平时呈常开状态当阀门内气流温度达到120℃熔断器动作阀门自动关闭，切断烟气蔓延，输出动作信号</t>
  </si>
  <si>
    <t>厨房灭火系统</t>
  </si>
  <si>
    <t xml:space="preserve">1.灭火系统装置具备自动、手动和应急启动三种操作模式,能提供动作信号配合消防控制室联动报警,本装置设计有自动探测部件，可24小时监控。灶台油锅发生火情时，可自动启动灭火装置灭火，同时关闭燃气阀并报警
2.根据厨房环境特点本装置均属机械传动,不需用电,原材料全部采用304不锈钢及铜材等，防止设备氧化锈蚀，灭火装置所有药剂管路采用304不锈钢厚壁管满足高压药剂迅速通过的要求,且螺纹连接的安装方式能避免高温高热环境下管路连接松动变形。
3.安装不占用厨房地面面积,只占用空间位置，装置与消防水(或者自来水)管路相连,系统启动后灭火剂开始喷洒,待灭火剂喷洒完再自动控制水阀对监控区域自动喷水降温,达到防止复燃的效果;
4.对喷嘴数量和位置更具灵活性，喷嘴数量取决于灶台油锅和集烟罩排烟口数量来设计，系统装置包括:控制箱、管路、喷嘴、探测器、易熔连接片、金属拉索、滑轮三通.滑轮弯头等组成。其中控制箱由自动释放机构、驱动用高压氮气瓶、水流控制阀、液体药剂罐以及连接软管、单向阀、减压阀等构成;采用机械式自动启动无需任何电源(包含电口池)即可工作,避免因电路故障造成装置无法运转和短路的可能性;
5.性能：工作温度: 4-55℃, 最高工作压力: 13Mpa,灭火剂保质期:8年，药剂喷洒时间: 13-15秒，灭火时间: 3-5秒。本装置可以提供电信号传递给中控室报警。产品性能严格按照行业标准执行，符合公共安全GA498-2012厨房设备灭火装置的相关规定。在发生厨房火灾时，能及时有效的扑灭火情，保障厨房安全
</t>
  </si>
  <si>
    <t>双瓶组</t>
  </si>
  <si>
    <t>四</t>
  </si>
  <si>
    <t>窗帘</t>
  </si>
  <si>
    <t>餐厅
娱乐室，多功能室， 入户大厅</t>
  </si>
  <si>
    <t>防晒隔热遮光降噪，遮光率（70%-90%）100%聚酯纤维，植绒素色面料，产品门幅280cm，产品克重980g/米，柔软光滑，天然抗菌。本项按窗框宽度计算（单位：米）</t>
  </si>
  <si>
    <t>m</t>
  </si>
  <si>
    <t>房间布料</t>
  </si>
  <si>
    <t>高精密遮光阻燃面料，加密加厚，隔音隔热i，B1级阻燃。产品门幅280cm，克重1100/m。本项按窗框宽度计算（单位：米）</t>
  </si>
  <si>
    <t>韩式辅料</t>
  </si>
  <si>
    <t>92%锦纶，8CM宽，加厚加密有纺衬带，本项按用料量计算（单位：卷）</t>
  </si>
  <si>
    <t>卷</t>
  </si>
  <si>
    <t>罗马轨</t>
  </si>
  <si>
    <t>铝合金材料，28直径，头子配色，支架配色；本项按窗框宽度计算（单位：米）</t>
  </si>
  <si>
    <t>滑轨</t>
  </si>
  <si>
    <t>铝合金材质&gt;0.1MM厚度；本项按窗框宽度计算（单位：米）</t>
  </si>
  <si>
    <t>幔轨</t>
  </si>
  <si>
    <t>合金材质七字贴，粘性强；本项按窗框宽度计算（单位：米）</t>
  </si>
  <si>
    <t>花边</t>
  </si>
  <si>
    <t>12cm长流苏花边，本项按用料量计算（单位：板）</t>
  </si>
  <si>
    <t>板</t>
  </si>
  <si>
    <t>五</t>
  </si>
  <si>
    <t>空调</t>
  </si>
  <si>
    <t>分体式空调 1P挂机</t>
  </si>
  <si>
    <t>KFR-26GW/G2-1</t>
  </si>
  <si>
    <t>1P挂机（含3米铜管）</t>
  </si>
  <si>
    <t>分体式空调 2P挂机</t>
  </si>
  <si>
    <t>KFR-50GW/G1-1</t>
  </si>
  <si>
    <t>2P挂机（含3米铜管）</t>
  </si>
  <si>
    <t>分体式空调 3P柜机</t>
  </si>
  <si>
    <t>KFR-72LW/BDN8Y-PA401(2)A</t>
  </si>
  <si>
    <t>3P柜机（含5米铜管）</t>
  </si>
  <si>
    <t>分体式空调 5P柜机</t>
  </si>
  <si>
    <t>KFR-120LW/BSDN8Y-PA401(2)A</t>
  </si>
  <si>
    <t>5P柜机（含5米铜管）</t>
  </si>
  <si>
    <t>六</t>
  </si>
  <si>
    <t>安防监控</t>
  </si>
  <si>
    <t>全彩数字枪式摄像机</t>
  </si>
  <si>
    <t>200万 1/2.7" CMOS 红外筒型网络摄像机
智能侦测：支持越界侦测，区域入侵侦测 
最低照度 彩色：0.01 Lux @（F1.2，AGC ON），0 Lux with IR
宽动态: 120 dB
焦距&amp;视场角: 
4 mm，水平视场角：87.6°，垂直视场角：44.4°，对角视场角：104.9°
6 mm，水平视场角：53.9°，垂直视场角：28.8°，对角视场角：62.8°
8 mm，水平视场角：40.9°，垂直视场角：22.5°，对角视场角：47.4°
12 mm，水平视场角：25.4°，垂直视场角：14.4°，对角视场角：29.1°
补光距离: 最远可达30 m
防补光过曝: 支持
红外波长范围: 850 nm
补光灯类型: 红外灯
最大图像尺寸: 1920 × 1080
网络存储: 支持NAS（NFS，SMB/CIFS均支持）
网络: 1个RJ45 10 M/100 M自适应以太网口
启动和工作温湿度: -30 ℃~60 ℃，湿度小于95%（无凝结）
供电方式: DC：12 V ± 25%，支持防反接保护；
电流及功耗: DC：12 V，0.41 A，最大功耗：5 W；
电源接口类型: Ø5.5 mm圆口
产品尺寸: 194.0 × 93.9 × 93.5 mm
包装尺寸: 235 × 125 × 120 mm
设备重量: 630 g
带包装重量: 850 g
防护: IP67</t>
  </si>
  <si>
    <t>球机</t>
  </si>
  <si>
    <t>E系列200万7寸23倍红外网络球机】
支持区域入侵侦测，越界侦测，进入区域侦测和离开区域侦等智能侦测并联动跟踪
传感器类型: 1/2.8＂progressive scan CMOS
最低照度: 彩色：0.005 Lux @（F1.6，AGC ON）；黑白：0.001 Lux @（F1.6，AGC ON）；0 Lux with IR
宽动态: 120 dB超宽动态
焦距: 4.8 mm~110 mm，23倍光学变倍 
视场角: 57.6°~2.7°（广角~望远）
水平范围: 360°
垂直范围: -15°~90°（自动翻转）
水平速度: 水平键控速度：0.1°~160°/s，速度可设；水平预置点速度：240°/s
垂直速度: 垂直键控速度：0.1°~120°/s，速度可设；垂直预置点速度：200°/s
主码流帧率分辨率: 50 Hz：25 fps（1920 × 1080）; 60 Hz：30 fps（1920 × 1080）
视频压缩标准: H.265，H.264，MJPEG
网络存储: NAS（NFS，SMB/CIFS）
支持萤石接入
网络接口: RJ45网口，自适应10 M/100 M网络数据 
SD卡扩展: 支持MicroSD(即TF卡)/MicroSDHC/MicroSDXC卡，最大支持256 GB
报警输入: 2路报警输入
报警输出: 1路报警输出
音频输入: 1路音频输入
音频输出: 1路音频输出
补光: 红外照射距离: 150 m
供电方式: AC24 V
电源接口类型: 两线式
电流及功耗: 最大功耗：24 W（其中除雾加热1.6 W，补光灯12 W）
工作温湿度: -30℃~65℃，湿度小于90%
恢复出厂设置: 支持
除雾: 加热玻璃除雾
尺寸: Ø220 mm × 353.4 mm 
重量: 4.5 kg
防护: IP66</t>
  </si>
  <si>
    <t>全彩数字半球摄像机</t>
  </si>
  <si>
    <t>200万 1/2.7" CMOS ICR日夜型半球型网络摄像机
智能侦测：越界侦测，区域入侵侦测
最低照度: 彩色：0.01 Lux @（F1.2，AGC ON），黑白：0 Lux with IR
宽动态: 120 dB
调节角度: 水平：0°~360°，垂直：0°~75°，旋转：0°~360° 
焦距&amp;视场角:  
2.8 mm，水平视场角：107.1°，垂直视场角：57°，对角视场角：127.6°
4 mm，水平视场角：87.6°，垂直视场角：44.4°，对角视场角：104.9°
6 mm，水平视场角：53.9°，垂直视场角：28.8°，对角视场角：62.8°
8 mm，水平视场角：40.9°，垂直视场角：22.5°，对角视场角：47.4°
补光灯类型: 红外灯
补光距离: 最远可达30 m
波长范围: 850 nm
防补光过曝: 支持
最大图像尺寸: 1920 × 1080
视频压缩标准: 主码流：H.265/H.264
网络存储: 支持NAS（NFS，SMB/CIFS均支持）
音频: 1个内置麦克风
网络: 1个RJ45 10 M/100 M自适应以太网口
存储温湿度: -30 ℃~60 ℃，湿度小于95%（无凝结）
启动和工作温湿度: -30 ℃~60 ℃，湿度小于95%（无凝结）
供电方式: DC：12 V ± 25%，支持防反接保护
电流及功耗: DC：12 V，0.41 A，最大功耗：5 W
电源接口类型: Ø5.5 mm圆口
产品尺寸: Ø127.3 × 96.8 mm
包装尺寸: 150 × 150 × 141 mm 
设备重量: 320 g
带包装重量: 500 g
防护: IP66</t>
  </si>
  <si>
    <t>枪机支架</t>
  </si>
  <si>
    <t>枪机专用</t>
  </si>
  <si>
    <t>球机支架</t>
  </si>
  <si>
    <t>球机专用</t>
  </si>
  <si>
    <t>立杆</t>
  </si>
  <si>
    <t>管径：114-76mm 1.8mm厚
底座：250*250mm 12mm厚
安装孔：4*Φ20mm</t>
  </si>
  <si>
    <t>地笼</t>
  </si>
  <si>
    <t>尺寸：145*145*400mm   
安装方式：预埋件
材质：冷轧钢
描述：地下混泥土倒置
备注：2~6米立杆通用</t>
  </si>
  <si>
    <t>硬盘录像机</t>
  </si>
  <si>
    <t>硬件规格：
2U标准机架式
2个HDMI，2个VGA,HDMI+VGA组内同源
8盘位，内置8块6T盘
2个千兆网口
2个USB2.0接口、1个USB3.0接口
1个eSATA接口
支持RAID0、1、5、10，支持全局热备盘
软件性能：
输入带宽：320M
64路H.264、H.265混合接入
最大支持16×1080P解码
支持H.265、H.264解码
Smart 2.0/整机热备/ANR/智能检索/智能回放/车牌检索/人脸检索/热度图/客流量统计/分时段回放/超高倍速回放/双系统备份</t>
  </si>
  <si>
    <t>43寸监示器</t>
  </si>
  <si>
    <t>1.尺寸：43英寸，分辨率：1920x1080；2.视角：178°(水平)/ 178°(垂直)，响应时间：8ms(G to G)，对比度：4000:1；3.输入接口：VGA×1，DVI×1，BNC×1，YPbPr×1，HDMI×1；输出接口：VGA×1，DVI×1，BNC×2；4.功耗：≤150W。</t>
  </si>
  <si>
    <t>机柜</t>
  </si>
  <si>
    <t>24U黑色标准专用机柜</t>
  </si>
  <si>
    <t>监控电源</t>
  </si>
  <si>
    <t>实际功率：24W            
吸塑包装输入参数：100~240V
输出参数：DC12V  2A
入箱数：100pcs/ctn</t>
  </si>
  <si>
    <t>球机专用电源</t>
  </si>
  <si>
    <t>1.颜色: 黑色；
2.安装方式: 两端带线式；
3.输入规格: AC220V(±20%)/50Hz；
4.输出规格: AC24V/2.2A；
5.空载输出电压: AC27.5V；
6.输出功率: 52.8W Max；
7.输入接口: 国标；
8.输出接口形式: 两线
9.线长: 输入0.5m，输出0.23m
10.产品尺寸（mm）: 101×83×67.5 mm
10.产品重量: 1200g</t>
  </si>
  <si>
    <t>国标六类网线</t>
  </si>
  <si>
    <t>全铜，国标</t>
  </si>
  <si>
    <t>箱</t>
  </si>
  <si>
    <t>监控电源线缆</t>
  </si>
  <si>
    <t>1.规格：3*2.5mm2
2.聚氯乙烯绝缘，导体使用多股裸铜线绞合，
3.通过国家3C认证</t>
  </si>
  <si>
    <t>PVC管</t>
  </si>
  <si>
    <t>直径20MM,C级可冷弯</t>
  </si>
  <si>
    <t>16口千兆</t>
  </si>
  <si>
    <t>1.配置要求：配备≥24个千兆电口, ≥4个千兆光口（非复用）；
2.设备性能：交换容量≥330Gbps，包转发率≥120Mpps；
3.路由功能：支持IPv4/IPv6静态路由、RIP，支持ospf；
4.功能特性：支持SDN Openflow技术，虚拟化堆叠功能：支持堆叠组内各设备负载分担功能，最大支持9台设备堆叠，堆叠链路支持冗余保护、快速收敛，收敛时间&lt;=50ms，支持单点管理功能；
5.CPU保护功能：支持CPU保护功能，能限制非法报文对CPU的攻击，保护交换机在各种环境下稳定工作；
6.业务端口防雷能力≥10KV。</t>
  </si>
  <si>
    <t>防水箱</t>
  </si>
  <si>
    <t>290mm*190mm</t>
  </si>
  <si>
    <t>线板</t>
  </si>
  <si>
    <t>6个三相插孔型插线板 （1.8米）</t>
  </si>
  <si>
    <t>开沟、挖槽及回填</t>
  </si>
  <si>
    <t>路面开挖、水泥、河沙、碎石、管线接件，线路加固</t>
  </si>
  <si>
    <t>布线设备辅材</t>
  </si>
  <si>
    <t>各种接头、插线、跳线、波纹管、脚手架、安全防护设施设备等</t>
  </si>
  <si>
    <t>批</t>
  </si>
  <si>
    <t>安装调试</t>
  </si>
  <si>
    <t>七</t>
  </si>
  <si>
    <t>会议及背景音乐系统</t>
  </si>
  <si>
    <t>会议室音响系统</t>
  </si>
  <si>
    <t>调音台</t>
  </si>
  <si>
    <t>1、10路输入(8MIC+LINE)+1路立体声）；
2、+48V幻像电压；
3、二组立体声输出；
4、2组编组输出；
5、一路效果输出；
6、AUX1输出；
7、一路返回；
8、一组录音输出；
9、一组TRACK输入；
10、支持蓝牙接收功能；
11、支持MP3，WAV双解码播放功能；
12、支持USB；
13、内置16 种DSP效果器；
14、低噪声设计采用TI高质量专业音频运放；
15、支持内置录音；
16、支持USB播放；
17、支持超重低音输出；
18、100mm推子；
19、支持通道监听；
20、支持主输出7段图示均衡（63Hz,160Hz,400Hz,1KHz,2.5KHz,6.3KHz,16KHz）；
21、输入灵敏度：MIC：-60dB；LINE：-60dB；
22、输出电压：RL：+15dB；
23、信噪比：&gt;85dB； 
24、失真度：(THD) &lt;%0.03(@1kHz)；
25、频率响应：20Hz-20kHz±1dB；
26、均衡参数：HF:10KHz±12dB，MF:2.5KHz±12dB，LF:20Hz±12dB；
27、耳机输出; 4V 60Ω；
28、功耗：&lt;20W；
29、供电电压：AC220V/50Hz；
30、体积：L400×W400×H100mm。</t>
  </si>
  <si>
    <t>DM0804B</t>
  </si>
  <si>
    <t>航空机柜一体式音箱</t>
  </si>
  <si>
    <t>1、航空机柜式箱体，带防水保护盖，箱体采用18mm优质中密度纤维板；
2、底部配置2个3寸万向轮与2个3寸定向轮；
3、2×15英寸轻量化大功率Ferrite低音驱动单元；
4、1.75英寸钛膜压缩高音单元；
5、玻璃钢号角，70°×60°覆盖角设计；
6、两分频全音域扬声器系统，分频器具有高频保护电路；
7、箱体表面采用环保水性漆，防滑、耐磨；
8、箱体采用1.5mm钢质防护网，内衬专业声学透声网；
9、专业四芯音响插座，防水设计；
10、额定功率：800W(RMS),1000W(AES）；
11、峰值功率：3200W（PEAK）；
12、额定阻抗：4Ω；
13、特性灵敏度：102dB/m/w；
14、连续声压级：131dB/m/w；
15、最大声压级：137dB/m/w；
16、频率范围：40Hz-20000Hz；
17、覆盖角度H×V：70°×60°；
18、号角：185mm×185mm/玻璃钢；
19、扬声器单元：LF：15"×2 driver；HF：1.75"×1；
20、箱体材料：18mm中纤板；
21、输入接口：NL4MP×2。</t>
  </si>
  <si>
    <t>GCK800i</t>
  </si>
  <si>
    <t>只</t>
  </si>
  <si>
    <t>数字功放</t>
  </si>
  <si>
    <t>1、开关电源采用有源PFC和软开关技术，能适应恶劣的电网环境；
2、功率因数校正技术，极低的电源功率消耗和极广的电源运行范围，可在90～260VAC/50～60Hz电压范围内工作；
3、输出功率：立体声2×800W/8Ω，2×1360W/4Ω；桥接1×1600W/16Ω，1×2720W/8Ω；
4、频率响应：20Hz-20kHz；
5、输入灵敏度：±0.5dB；
6、输入阻抗（平衡式）：≥20KΩ;
7、输入阻抗（非平衡式）：≥10KΩ;
8、串扰抑制：≥85dB（A计权，1000Hz，8Ω，输入衰减1dB）；
9、信噪比：≥105dB（A计权）；
10、阻尼系数（8Ω/20Hz-200Hz）：≥500；
11、声道增益：≤0.5dB（输入衰减10dB，8Ω）；
12、总谐波失真：0.03%；
13、过载源电动势：≥12dB；
14、额定RMS输出电压：≥80V（THD=1% ，1000Hz，8Ω）;
15、保护功能：电源欠压保护、开关机延时保护、输出直流保护、温度功率控制保护、过载功率控制过热保护。</t>
  </si>
  <si>
    <t>G3600-SZD</t>
  </si>
  <si>
    <t>返听音响</t>
  </si>
  <si>
    <t>1、12英寸轻量化大功率Ferrite低音驱动单元，钛膜压缩高音单元；
2、额定功率：200W；
3、峰值功率：800W；
4、额定阻抗：8Ω；
5、频率响应：55Hz-20KHz；
6、灵敏度：98dB；
7、连续声压级：121dB；
8、最大声压级：127dB；
9、辐射角度：H70°×V40°；
10、号角：193×153mm/ABS；    
11、单元规格：LF 12″×1、HF 1″×1；
12、箱体材料：15mm中密度纤维板；
13、输入接口：NL4MP×2；
14、吊挂点：多点M8螺丝吊装孔位；
15、支撑座：音箱底部φ35mm支撑座。</t>
  </si>
  <si>
    <t>K122</t>
  </si>
  <si>
    <t>数字功放-返听</t>
  </si>
  <si>
    <t>1、开关电源采用有源PFC和软开关技术，能适应恶劣的电网环境；
2、功率因数校正技术，极低的电源功率消耗和极广的电源运行范围，可在90～260VAC/50～60Hz电压范围内工作；
3、输出功率：立体声2×400W/8Ω，2×680W/4Ω；桥接1×800W/16Ω，1×1360W/8Ω；
4、频率响应：20Hz-20kHz；
5、输入灵敏度：±0.5dB；
6、输入阻抗（平衡式）：≥20KΩ;
7、输入阻抗（非平衡式）：≥10KΩ;
8、串扰抑制：≥85dB（A计权，1000Hz，8Ω，输入衰减1dB）；
9、信噪比：≥105dB（A计权）；
10、阻尼系数（8Ω/20Hz-200Hz）：≥500；
11、声道增益：≤0.5dB（输入衰减10dB，8Ω）；
12、总谐波失真：0.03%；
13、过载源电动势：≥12dB；
14、额定RMS输出电压：≥56.6V（THD=1% ，1000Hz，8Ω）;
15、保护功能：电源欠压保护、开关机延时保护、输出直流保护、温度功率控制保护、过载功率控制过热保护。</t>
  </si>
  <si>
    <t>G1200-SZD</t>
  </si>
  <si>
    <t>数字音频处理器</t>
  </si>
  <si>
    <t>1、2输入6输出，多种分频模式；
2、24-bit DSP技术，高性能AD /DA；
3、输入输出音量调节，范围从-40dB到+12dB，最小步进0.1dB；
4、每个输入输出通道有7段参数均衡(PEQ)，每段参数均衡(PEQ)有多种EQ类型选择；
5、参数均衡(PEQ)频率范围从19.7Hz到21.9KHz，增益范围从-30dB到+15dB，带宽范围从0.017到7.750倍频程（Oct）；
6、输出高通、低通滤波器，每个滤波器有多种斜率和类型供选择，滤波器斜率有：-12dB，-24dB，-36dB，-48dB，滤波器类型有：巴特沃斯(Butterworth)，贝塞尔(Bessel)，宁克锐(Linkwite-Riley)；
7、每个输入输出通道可设置最长延时1000ms，带延时开关；
8、每个输入输出通道均有压缩器，可调节各压缩器的门限值，压缩比，上冲时间和释放时间，关闭/硬拐点/5级拐点可调；
9、每个输出通道到相位反转功能；
10、通道复制功能，多通道链接功能，可同时设置多个通道参数；
11、USB，RS485等多种方式与上位机连接；
12、多台机器联网功能，一台电脑可同时连接3种类型机器，同一类型机器最多达32台；
13、132×32点阵LCD液晶显示屏；
14、7段输入输出电平显示LED；
15、静音显示LED灯，按键指示LED灯；
16、输入阻抗：10KΩ；
17、输出阻抗：50Ω；
18、采样频率48KHz；
19、输入输出延时：1s，步进21uS；
20、输入输出参数均衡频率：7Hz-21.9KHz；
21、输入输出参数均衡带宽：0.17-4.5OCT；
22、动态范围：117dB；
23、频率响应：10Hz-22KHz；
24、总谐波失真：≤0.01%。</t>
  </si>
  <si>
    <t>GDS-II</t>
  </si>
  <si>
    <t>电源时序器</t>
  </si>
  <si>
    <t>1、2寸彩色液晶智能显示窗，实时显示当前电压、日期时间，通道开关状态；
2、定时开关机功能，内置时钟芯片，可根据日期时间设定，无需人工操作；
3、8路通道输出，每路延时开启和关闭时间可自由设置（范围0~999S）；
4、10组设备开关场景数据保存/调用，场景管理应用简单便捷；
5、欠压、超压检测及保护功能；
6、单路额定输出电流13A，总输出达30A，总功率6000W，单路最大功率2000W；
7、支持多台设备级联控制，级联状态可自动检测及设置；
8、配置RS232串口，支持外部中央控制设备控制；
9、可实现远程集中控制，每台设备自带设备编码ID检测和设置；
10、支持面板Lock锁定功能，防止人为误操作；
11、额定输出电压: 交流220V/50Hz；
12、可控制电源: 8路外加2路输出辅助通道,共10通道；
13、每路动作延时时间: 0-999秒；
14、供电电源: AC220V 50/60Hz 30A；
15、状态显示: 2寸彩色液晶实时显示当前电压,日期,时间,每路开关状态；
16、单路额定输出电流: 13A；
17、额定总输出电流: 30A；
18、定时器功能:√。</t>
  </si>
  <si>
    <t>DX4.0</t>
  </si>
  <si>
    <t>无线演唱话筒</t>
  </si>
  <si>
    <t>1、金属机箱，坚固的结构、散热及隔离谐波干扰；
2、RF高动态范围及第三代中频电路，互不干扰的频道数及抗干扰特性； 
3、第1-4组预设16个互不干扰频率，第5-8预设24个互不干扰频率，第U组为用户自定义组，最多可提供2000频率供客户自定义选择使用；
4、采用天线分集式接收及数字导音，杂音锁定双重静音控制，接收距离远；
5、金属面板，LED段码显示器，可同时显示群组、频率、电池电量、静音位准、电子音量等相关信息，LED灯柱显示RF/AF强度；
6、飞梭旋钮，操作快速方便。
7、天线接口采用50Ω/TNC，，支持天线环路输出，支持8套同型产品射频级联；
8、各频道可单独或混合输出，可切换两段输出的音量，具高音量动态范围、高传真特性； 
9、天线座提供强波器偏压，可以连接天线系统，增加接收距离及稳定的接收效果； 
10、振荡模式：PLL相位锁定频率合成；
11、载波频段：UHF530-690.000MHz；
12、单机频带宽度：50MHz； 
13、单机频道数量：2000个；
14、频率间隔：25KHz；
15、音频灵敏度：-48±3dB；
16、综合S/N比：&gt;100dB(A)； 
17、综合T.H.D：&lt;0.5%@1kHz； 
18、综合频率响应：70Hz-15kHz；
19、最大声压级：109dBA@1KHz，THD 1%；
20、静音控制模式：数字导音，杂音锁定双重控制，SQ值 7-45 dBuV可调节；
21、最大输出电压：+10dBV,可通过电子音量调整输出大小；
22、输出插座：
2个独立的XLR平衡插座；
1个混合的XLR平衡插座；
1个混合的6.35MM插座；
23、电源：100-240V,内置AC电源板，支持AC电源环路输出；
24、MIC/LINE输出开关：LINE比MIC输出约大10dBu；
25、消耗功率：8W。</t>
  </si>
  <si>
    <t>DS-UT20</t>
  </si>
  <si>
    <t>壁架等</t>
  </si>
  <si>
    <t>1.固定面板尺寸（长*宽）：230mm*152mm
2.臂杆长度：≥230mm
3.箱体固定杆长度：≥155mm
4.重量：≥2.56Kg</t>
  </si>
  <si>
    <t>音响线</t>
  </si>
  <si>
    <t>XSH2*1.0mm2</t>
  </si>
  <si>
    <t>XSH210</t>
  </si>
  <si>
    <t>航空机柜</t>
  </si>
  <si>
    <t>12U</t>
  </si>
  <si>
    <t>背景音乐系统</t>
  </si>
  <si>
    <t>数码智能中心机</t>
  </si>
  <si>
    <t>1、智能定时、分区广播功能：通过软件编程实现定时、分区广播，系统提供8组事件组，自定义编辑定时播音内容，自动播音，按照每周循环，可设置特殊任务，至少有两套任务切换；
2、手动全区、分区广播功能：通过对智能中心机面板按键的操作，可实现全区、分区广播功能；
3、分区拓展功能：自带6路分区，也可通过RS232控制接口外接分区器，实现16路分区；
4、电源管理功能：智能中心机内置3路可编程控制电源接口，并可外控电源时序控制器进行扩展；
5、报警广播功能：只需一路24V信号或者短路信号，便可实现全区报警功能；
6、一键紧急播音功能：智能中心机面板带红色醒目按键，按下后实现全区紧急播音功能；
7、收音机存台功能：智能中心机内置收音机模块，自动搜台记忆功能，可实现40个FM电台频率记忆存储；
8、电话遥控功能：智能中心机与市话接口控制器连接则可实现电话远程全区、分区广播和远程电话遥控执行任务功能；
9、远程遥控功能：智能中心机与无线遥控套件配合，可实现无遮挡1000米范围内远程遥控执行任务的功能；
10、系统中，远程遥控功能和电话遥控功能，二者选其一。
11、192×64带背光点阵屏，采用高性能处理芯片，实现超强的编程自动控制；
12、1路话筒接口，带48V幻象供电，面板有话筒音量调节旋钮，默音切入广播内容；
13、1路市话输入RCA接口、1路辅助输入RCA接口，1路线路RCA输出，1路录音RCA输出；
14、面板上有高低音调节，MP3、FM音量调节，带USB接口和外接SD卡（标配8G）。
15、话筒输入灵敏度：-36dB；
16、线路输入灵敏度(单通道输入) ：-6dB；
17、辅助输入频率响应：40Hz-18KHz ±3dB；
18、话筒输入频率响应：100Hz-15KHz ±3dB；
19、总谐波失真：≤0.1%；
20、线路/录音输出：775mV±40mV；
21、信噪比：&gt;85dB(A计权)；
22、在高压1.5KV（5mA)冲击下冲击60s无损坏。</t>
  </si>
  <si>
    <t>FDC2315</t>
  </si>
  <si>
    <t>前置放大器</t>
  </si>
  <si>
    <t>1、12路输入通道：5路话筒输入，5路标准线路输入，紧急输入（EMC）；
2、4路消防接口（包括2路短路和2路DC24V），具有最高优先级；紧急输入（EMC1、2）为第二级优先；话筒1（MIC1）具有默音可调功能，具有第三级优先；话筒（MIC2、3、4、5）与线路（AUX1、2、3）输入为第四级，任一接口有效均可强切为消防信号；
3、话筒（MIC）输入通道和线路（AUX）输入通道均可独立调校音量以及高音 (TREBLE)、低音（BASS）独立调节；
4、话筒带48V幻象功能（拨码开关单独控制）；
5、钟声功能，且钟声音量可调。
6、输入灵敏度：线路250mV（L、R同时输入），报警：250mV，话筒1-5：13 mV，应急话筒：15mV，应急话筒启控阀值： 5mV；
7、输出幅度：线路775mV±1dB/620Ω；录音输出 775mV±1dB/1000Ω；
8、输入阻抗：＞10KΩ；
9、频率响应：40Hz-16KHz≤3dB；
10、总谐波失真：(80Hz-16KHz)≤0.5%；
11、信噪比：话筒≥70dB；线路≥80dB；
12、音调：200Hz±6dB；10KHz±9dB；
13、提供产品的CCC证书。</t>
  </si>
  <si>
    <t>QF10</t>
  </si>
  <si>
    <t>播音话筒</t>
  </si>
  <si>
    <t>1、带音乐前奏音功能，金属外壳设计；
2、换能方式：电容式； 
3、指向性：心型指向；
4、频率响应：40～16000Hz ；
5、MIC灵敏度：-45dB±2Db；
6、前奏音灵敏度：-50dB±2dB； 
7、供电电压：DC12V（外置电源）或DC9V（层叠电池）；
8、音频线长度：10m。</t>
  </si>
  <si>
    <t>DS-308M</t>
  </si>
  <si>
    <t>电源控制器</t>
  </si>
  <si>
    <t>1、16路电源输出，时序开关控制，顺序开启，反序关闭；
2、时序控制增加控制口，短路信号输入，可将时序开关外接，方便与其他系统联动，可按键单独开启和关闭每一路电源输出；
3、一个RS232串口和两个RS422数据接口，提供电源裸线端子接入市电；
4、时序间隔时间：1秒；
5、每通道输出电流：10A；
6、整机额定输出电流：40A；
7、硬件接口：RS232控制口×1个  RS422数据接口×1  时序器外接控制开关接口；
8、工作电压：220V±10%/50-60Hz；在高压1.5KV冲击下冲击60s无损坏。</t>
  </si>
  <si>
    <t>PC-16</t>
  </si>
  <si>
    <t>吸顶扬声器</t>
  </si>
  <si>
    <t>1、塑料盆架，弹簧压片系统，安装方便；
2、使用于办公室、走廊、酒店等；
3、额定功率：6W；
4、输入电压：100V；
5、频率范围：120Hz-15KHz；
6、灵敏度：90±3dB；
7、尺寸：Φ175×60mm；
8、开孔尺寸：Φ150mm；
9、重量：0.5Kg。</t>
  </si>
  <si>
    <t>XD-6W</t>
  </si>
  <si>
    <t>前后级功放</t>
  </si>
  <si>
    <t>1、标准2U高度机柜式设计，安装铝把手后,适合安装在标准的19吋机柜内；
2、二路话筒/线路(MIC/LINE)输入并带独立音量控制，输入端口为6.35和XLR通用插座；话筒带优先功能选择和幻象电源(+48V）；
3、三路AUX输入并带独立音量控制；
4、话筒和线路带独立的高低音音调控制；
5、AUX带LINK功能、并带功放前置信号输出接口，便于系统拓展应用；
6、带分级优先权限控制接口；
7、内置智能自动压限电路，有效限制大动态信号削波，确保音色悦耳、保护扬声器系统；
8、100V定压、70V定压和4-16ohm定阻三种输出方式。采用接线柱输出端口连接方便牢固；
9、电源、信号、过载和保护指示（LED），工作状态一目了然；
10、直流、过热、过载和短路保护功能；
11、隧道式散热器结合风速可变风冷散热系统，有效降低工作温度确保使用稳定；
12、内置高品质的MP3蓝牙播放器，带SD卡槽和USB接口，并带蓝牙和FM收音机功能；并具备断电记忆工作模式和输出音量功能；带遥控功能，附带遥控器。遥控器功能：播放/暂停、上一曲、下一曲、音量增减、静音、模式选择、场景模式、自动搜台等；
13、内置4分区，每个分区带手动选择按键和音量调节旋钮；
14、额定功率：250W；
15、消耗功率：550W；
16、输入灵敏度：话筒  13mV±3mV（-35.5dB±1.5dB）；线路 250mV±50mV（-10dB±1dB）；
17、辅助LINK输出灵敏度：775mV±50mV(0dB±1dB),AUX LINK输出端；
18、AUX1/MP3直通信号输出灵敏度：775mV±50mV(0dB±1dB),THROUGH OUT AUX1/MP3-FM输出端；
19、前置放大信号输出灵敏度：775mV±50mV(0dB±1dB),OPERATED OUT AFTER PRE-AMP输出端；
20、高音音调调节：10KHz：提升衰减量10dB±2dB；低音音调调节：100Hz：提升衰减量10dB±2dB；
21、频率响应：100Hz-18KHz+2dB/-5dB(默认)； 80Hz-8KHz ±2dB(宽频)；
22、失真度：≤1%（1KHz,1/3额定功率）；
23、信噪比（A计权）：话筒 620欧平衡封口 ≥70dB；线路：≥80dB；
24、尺寸：无拉手 430L×400D×88H/mm，含拉手 482L×431D×88H/mm；
25、额定工作电源：AC220V,50Hz。</t>
  </si>
  <si>
    <t>NK250HMF</t>
  </si>
  <si>
    <t>消防广播接入背景音乐</t>
  </si>
  <si>
    <t>消防广播主机</t>
  </si>
  <si>
    <t>1、标准7U高度机柜式设计，17.3吋全高清触摸屏幕；
2、网络广播主机带4个COM接口；3路MIC输入口； 8路USB接口，其中4个USB接口为USB3.0；双网卡设计，2个RJ45接口；1路VGA接口和1路DVI-D视频接口，可以外接LCD监视器；1路PS/2接口，通过标配转接线可以外接PS/2的鼠标和键盘；
3、6×4音频矩阵功能：6路线路输入接口，每一路线路输入有两个编组按键发送到任意编组混音；
4、线路输入和话筒输入均带音量和音调调节，具有9个音量调节旋钮，9组（18个）高低音调节旋钮；
5、带2组线路输出接口；
6、面板带1个可以编程的紧急按键；
7、内置监听功能，监听音量可以单独调整；
8、工业级主板，可满足7×24hrs不间断工作；
9、内存：DDR4/4GB；
10、固态硬盘容量：128G。</t>
  </si>
  <si>
    <t>NPC300</t>
  </si>
  <si>
    <t>八</t>
  </si>
  <si>
    <t>药房门禁系统</t>
  </si>
  <si>
    <t>人脸识别考勤门禁一体机</t>
  </si>
  <si>
    <t>用户：10000                 
指纹：10000             
面部：10000                 
5寸彩屏                     
容量：10万                  
按键：触摸按键          
通讯方式：TCP  /IP</t>
  </si>
  <si>
    <t>XFace 600</t>
  </si>
  <si>
    <t>双门磁力锁</t>
  </si>
  <si>
    <t>使用范围：木门、防火门、金属门、玻璃门等
锁体尺寸：250*48.5*27mm
吸板尺寸：180*38*13mm
输入电压：DC12V
工作电流12V/380mA
安全类型：通电上锁、断电开锁</t>
  </si>
  <si>
    <t>DF-280D</t>
  </si>
  <si>
    <t>ZL型磁力锁支架</t>
  </si>
  <si>
    <t>L型：250*47.2*28.7                                                                                                                                   Z型：180*50*50</t>
  </si>
  <si>
    <t>ZL-280PZL</t>
  </si>
  <si>
    <t>门禁专用电源</t>
  </si>
  <si>
    <t>直流输出:12VDC,5A,实际2.5~3.0A ，设NC/NO输出，可直接控制电锁。设开锁时间在0-11秒，设开门按钮输入，</t>
  </si>
  <si>
    <t>AP105</t>
  </si>
  <si>
    <t>出门按钮</t>
  </si>
  <si>
    <t>86x86x28</t>
  </si>
  <si>
    <t>EX802</t>
  </si>
  <si>
    <t>闭门器</t>
  </si>
  <si>
    <t>产品材质:  高强度压铸铝合金
开门角度:  180度         
门   重：  65-85kg                                   
适用范围：小区单元门</t>
  </si>
  <si>
    <t>大号</t>
  </si>
  <si>
    <t>辅材</t>
  </si>
  <si>
    <t>九</t>
  </si>
  <si>
    <t>洗衣烘干、开水机</t>
  </si>
  <si>
    <t>大功率洗烘一体机</t>
  </si>
  <si>
    <t xml:space="preserve">洗涤容量：30kg
箱体材质：钢板
产品类型：洗衣、脱水、烘干一体机
功率：洗涤3000W、脱水3000W、烘干100000W
内桶材质：不锈钢
电机类型：变频
使用方式：全自动
尺寸：1300*1200*1700mm
净重：850Kg
显示屏类型：数字显示屏
最高转速：800转/分钟
</t>
  </si>
  <si>
    <t>洗衣机</t>
  </si>
  <si>
    <t>洗涤容量：12kg
箱体材质：镀锌钢板
最高转速：800rpm
电机功率：500w
内桶材质：不锈钢
能效等级：二级以上
使用方式：全自动
耗水量：192L
尺寸：630*601*1000mm
净重：43Kg</t>
  </si>
  <si>
    <t>电热开水机</t>
  </si>
  <si>
    <t>分类：双温内置过滤，60L,220V，定时保温+底座套装；
内胆材质：304不锈钢；
显示屏类型：LED；
加热方式：电热管加热；
最大容积：210L；
功率：6KW；
额定出水量：60L/h</t>
  </si>
  <si>
    <t>十</t>
  </si>
  <si>
    <t>医务室</t>
  </si>
  <si>
    <t>血压计</t>
  </si>
  <si>
    <t>成品，医用专用器材。</t>
  </si>
  <si>
    <t>体重秤</t>
  </si>
  <si>
    <t>器械台</t>
  </si>
  <si>
    <t>1.规格：1000×550×800mm；2.主件：方管、不锈钢管骨架、薄钢板、不锈钢板托盘，带抽屉，电镀喷塑处理；3.具备医疗器械注册证。</t>
  </si>
  <si>
    <t>身高坐高计</t>
  </si>
  <si>
    <t>1.机械式，电镀支架；2.量程≥2000mm；分度值1mm，误差≤1mm。座高计≥1200mm</t>
  </si>
  <si>
    <t>胸围尺</t>
  </si>
  <si>
    <t>1．PVC塑料质，顶端粘附金属薄片；2.双面刻度，分度值≤1mm，有效量程：≥1500mm。</t>
  </si>
  <si>
    <t>肺活量计</t>
  </si>
  <si>
    <t>1.电子。2.测量范围：100～10000ml；</t>
  </si>
  <si>
    <t>污物桶</t>
  </si>
  <si>
    <t>1.PVC外桶，内胆不锈钢制；2.带开盖踏板，Φ≥300mm。</t>
  </si>
  <si>
    <t>敷料缸</t>
  </si>
  <si>
    <t>1.规格约500×1000ml2.铁制搪瓷，由底座、圆筒、缸盖组成。</t>
  </si>
  <si>
    <t>方盘</t>
  </si>
  <si>
    <t>1.规格:200×300mm；2.铁制白色搪瓷或不锈钢，长方型。</t>
  </si>
  <si>
    <t>带盖方盘</t>
  </si>
  <si>
    <t>铁制白色搪瓷或不锈钢，长方型长×宽200×300mm</t>
  </si>
  <si>
    <t>剪刀</t>
  </si>
  <si>
    <t>不锈钢制，全长不小于190mm，剪刀片刀片厚度1.5±0.2mm</t>
  </si>
  <si>
    <t>外伤处理器械包</t>
  </si>
  <si>
    <t>包括：125mm医用剪刀×1把，125mm敷料镊子1把，胶布2卷，纱布绷带100×5000mm4卷，乳胶止血带1条，压舌板、笔式手电筒、敷料盒、敷料镊子、敷料剪等。</t>
  </si>
  <si>
    <t>计算器</t>
  </si>
  <si>
    <t>外观规格≥110×140mm</t>
  </si>
  <si>
    <t>紫外灯</t>
  </si>
  <si>
    <t>石英灯管，带罩，波长253.7A，工作电压AC220V50Hz，2×30W，不锈钢灯臂，调节角度0-180度，闲置时垂放，关上保护门，带定时器，最大定时≥120分钟内可调，定时器工作完毕能自行断路，具备医疗器械注册证</t>
  </si>
  <si>
    <t>急救包</t>
  </si>
  <si>
    <t>1.PVC分格箱，430×250×350mm;2.包括：创可贴10片1包、酒精50ml×1瓶、红贡50ml×1瓶、蓝贡50ml×1瓶、温乃近、肚泻药，听诊器1具，一次性压舌板1把，丁字式开口器1把，舌钳1把，体温表1支，大圆头叩诊槌1把，笔式手电筒1把，125mm医用剪刀1把，125mm敷料镊子1把，920×110mm卷式夹板2个，胶布2卷，纱布绷带100×5000mm4卷，三角绷带910×910×1300mm2包，500×800mm压缩纱布块2包，75×75mm医用纱布片10片，酒精棉片10片，5只装碘</t>
  </si>
  <si>
    <t>开合式担架</t>
  </si>
  <si>
    <t>轻型，铝合金制，小型折叠式，帆布面料。</t>
  </si>
  <si>
    <t>副</t>
  </si>
  <si>
    <t>止血带</t>
  </si>
  <si>
    <t>医用高分子材料制，乳白色，长条扁平型，点连叠型装盒，具备医疗器械注册证。</t>
  </si>
  <si>
    <t>条</t>
  </si>
  <si>
    <t>氧气瓶（包）</t>
  </si>
  <si>
    <t>规格为医用20升套装（即氧气瓶+黄铜氧气表+吸氧管+面罩+30升推车+扳手），瓶高1150mm、直径180mm、壁厚4.8mm。</t>
  </si>
  <si>
    <t>饮水机</t>
  </si>
  <si>
    <t>行业标准</t>
  </si>
  <si>
    <t>小型红外线消毒柜</t>
  </si>
  <si>
    <t>规格为78L，消毒方式：红外线（可加紫外线或臭氧）</t>
  </si>
  <si>
    <t>计算机</t>
  </si>
  <si>
    <t>1.CPU：i5 13代及以上；
 2.内存：16G及以上；
 3.硬盘：512G SSD以上；
 4.有前置和后置USB接口；
 5.包含21.5寸及以上同品牌显示器；含同品牌键盘、鼠标.</t>
  </si>
  <si>
    <t>体温计</t>
  </si>
  <si>
    <t>医用</t>
  </si>
  <si>
    <t>镊子</t>
  </si>
  <si>
    <t>医用200-250mm</t>
  </si>
  <si>
    <t>十一</t>
  </si>
  <si>
    <t>生活家居及消防安保器械</t>
  </si>
  <si>
    <t>床上用品</t>
  </si>
  <si>
    <t>每个床位含棉被6斤1床、4斤1床，被套2床、床单2床、枕芯1个、枕套2幅、凉席1张；</t>
  </si>
  <si>
    <t>生活用品</t>
  </si>
  <si>
    <t>每个床位含不不锈钢真空暧水瓶1个，洗手盆1 个，毛巾2张；</t>
  </si>
  <si>
    <t>安保器械</t>
  </si>
  <si>
    <t>含防暴头盔1个、防爆盾牌1个、仿刺背心1件、放割手套1幅、香蕉警棍1根、强光电筒1只、自卫喷雾剂1瓶、安全钢叉1支</t>
  </si>
  <si>
    <t>十二</t>
  </si>
  <si>
    <t>办公设备</t>
  </si>
  <si>
    <t>台式机</t>
  </si>
  <si>
    <t>配置：G5420/4G/256G SSD/集成显卡/无光驱/21.5英寸</t>
  </si>
  <si>
    <t>激光打印机</t>
  </si>
  <si>
    <t>激光多功能一体机（打印、复印、扫描）最快打印速度16页/分钟、支持有线网络、打印分辨率600*600dpi、纸盒容量150页、黑色约1100页、彩色约900页。</t>
  </si>
  <si>
    <t>各文化室、食堂文化墙</t>
  </si>
  <si>
    <t>1.5cmPVC UV画面</t>
  </si>
  <si>
    <t>楼层索引</t>
  </si>
  <si>
    <t>56cm*1m</t>
  </si>
  <si>
    <t>紧急疏散示意图2</t>
  </si>
  <si>
    <t>1m*0.6m</t>
  </si>
  <si>
    <t>楼栋号</t>
  </si>
  <si>
    <t>铝塑板</t>
  </si>
  <si>
    <t>房间床位贴牌、衣柜位贴牌</t>
  </si>
  <si>
    <t>提示牌</t>
  </si>
  <si>
    <t>5cm*5cm</t>
  </si>
  <si>
    <t>正门字</t>
  </si>
  <si>
    <t>5cm钛金字</t>
  </si>
  <si>
    <t>正门字书写费</t>
  </si>
  <si>
    <t>书写费</t>
  </si>
  <si>
    <t>手写体</t>
  </si>
  <si>
    <t>小心台阶</t>
  </si>
  <si>
    <t>可移车贴+防滑膜</t>
  </si>
  <si>
    <t>1.2m*10cm</t>
  </si>
  <si>
    <t>玻璃贴条</t>
  </si>
  <si>
    <t>可移车贴</t>
  </si>
  <si>
    <t>1m*10cm</t>
  </si>
  <si>
    <t>值班牌</t>
  </si>
  <si>
    <t>大厅宣传语</t>
  </si>
  <si>
    <t>1.5cmPVC 雕刻字</t>
  </si>
  <si>
    <t>无障碍通道</t>
  </si>
  <si>
    <t>洗衣房分类标识</t>
  </si>
  <si>
    <t>30cm*30cm</t>
  </si>
  <si>
    <t>文化背景墙彩绘</t>
  </si>
  <si>
    <t>地上消火栓指示牌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</si>
</sst>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00_);[Red]\(0.00\)"/>
    <numFmt numFmtId="178" formatCode="0.00_ "/>
  </numFmts>
  <fonts count="41">
    <font>
      <sz val="11"/>
      <color theme="1"/>
      <name val="宋体"/>
      <charset val="134"/>
      <scheme val="minor"/>
    </font>
    <font>
      <b/>
      <sz val="10"/>
      <name val="仿宋"/>
      <charset val="134"/>
    </font>
    <font>
      <sz val="10"/>
      <name val="仿宋"/>
      <charset val="134"/>
    </font>
    <font>
      <sz val="10"/>
      <color rgb="FFFF0000"/>
      <name val="仿宋"/>
      <charset val="134"/>
    </font>
    <font>
      <b/>
      <sz val="10"/>
      <color rgb="FFFF0000"/>
      <name val="仿宋"/>
      <charset val="134"/>
    </font>
    <font>
      <b/>
      <sz val="24"/>
      <name val="仿宋"/>
      <charset val="134"/>
    </font>
    <font>
      <sz val="10"/>
      <color theme="1"/>
      <name val="仿宋"/>
      <charset val="134"/>
    </font>
    <font>
      <sz val="10"/>
      <color rgb="FF000000"/>
      <name val="宋体"/>
      <charset val="134"/>
      <scheme val="minor"/>
    </font>
    <font>
      <sz val="10"/>
      <color theme="1"/>
      <name val="宋体"/>
      <charset val="134"/>
      <scheme val="minor"/>
    </font>
    <font>
      <sz val="11"/>
      <name val="宋体"/>
      <charset val="134"/>
    </font>
    <font>
      <sz val="11"/>
      <color theme="1"/>
      <name val="宋体"/>
      <charset val="134"/>
    </font>
    <font>
      <sz val="10"/>
      <color indexed="8"/>
      <name val="宋体"/>
      <charset val="134"/>
    </font>
    <font>
      <sz val="14"/>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2"/>
      <name val="Times New Roman"/>
      <charset val="0"/>
    </font>
    <font>
      <b/>
      <sz val="10"/>
      <name val="宋体"/>
      <charset val="134"/>
    </font>
    <font>
      <sz val="12"/>
      <name val="仿宋_GB2312"/>
      <charset val="134"/>
    </font>
    <font>
      <sz val="10"/>
      <name val="Arial"/>
      <charset val="0"/>
    </font>
    <font>
      <sz val="9"/>
      <color theme="1"/>
      <name val="宋体"/>
      <charset val="134"/>
      <scheme val="minor"/>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34" fillId="0" borderId="0"/>
    <xf numFmtId="0" fontId="35" fillId="0" borderId="0"/>
    <xf numFmtId="0" fontId="36" fillId="0" borderId="0" applyProtection="0">
      <alignment vertical="center"/>
    </xf>
    <xf numFmtId="0" fontId="34" fillId="0" borderId="0">
      <alignment vertical="center"/>
    </xf>
    <xf numFmtId="0" fontId="0" fillId="0" borderId="0">
      <alignment vertical="center"/>
    </xf>
    <xf numFmtId="0" fontId="34" fillId="0" borderId="0">
      <alignment vertical="center"/>
    </xf>
    <xf numFmtId="0" fontId="33" fillId="0" borderId="0">
      <alignment vertical="center"/>
    </xf>
    <xf numFmtId="0" fontId="34" fillId="0" borderId="0"/>
    <xf numFmtId="0" fontId="34" fillId="0" borderId="0"/>
    <xf numFmtId="0" fontId="0" fillId="0" borderId="0"/>
    <xf numFmtId="0" fontId="0" fillId="0" borderId="0">
      <alignment vertical="center"/>
    </xf>
    <xf numFmtId="0" fontId="35" fillId="0" borderId="0"/>
    <xf numFmtId="0" fontId="37" fillId="0" borderId="0"/>
    <xf numFmtId="0" fontId="38" fillId="0" borderId="0"/>
    <xf numFmtId="0" fontId="33"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39" fillId="0" borderId="0"/>
    <xf numFmtId="0" fontId="0" fillId="0" borderId="0">
      <alignment vertical="center"/>
    </xf>
    <xf numFmtId="0" fontId="34" fillId="0" borderId="0"/>
    <xf numFmtId="0" fontId="35" fillId="0" borderId="0"/>
  </cellStyleXfs>
  <cellXfs count="6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right"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3" xfId="0"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wrapText="1"/>
    </xf>
    <xf numFmtId="176" fontId="1"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right"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vertical="center" wrapText="1"/>
    </xf>
    <xf numFmtId="0" fontId="2" fillId="0" borderId="1" xfId="68"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68"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horizontal="right" vertical="center" wrapText="1"/>
    </xf>
    <xf numFmtId="177" fontId="2" fillId="0" borderId="0" xfId="0" applyNumberFormat="1" applyFont="1" applyFill="1" applyAlignment="1">
      <alignment horizontal="right"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right" vertical="center"/>
    </xf>
    <xf numFmtId="0" fontId="0" fillId="0" borderId="0" xfId="0" applyFill="1" applyAlignment="1">
      <alignment vertical="center"/>
    </xf>
    <xf numFmtId="178" fontId="2"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7" fillId="0" borderId="1" xfId="0" applyFont="1" applyFill="1" applyBorder="1" applyAlignment="1">
      <alignment horizontal="center" vertical="top" wrapText="1"/>
    </xf>
    <xf numFmtId="0" fontId="8" fillId="0" borderId="1" xfId="0" applyFont="1" applyFill="1" applyBorder="1" applyAlignment="1">
      <alignment vertical="center"/>
    </xf>
    <xf numFmtId="0" fontId="9" fillId="0" borderId="1" xfId="1"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NumberFormat="1" applyFont="1" applyFill="1" applyBorder="1" applyAlignment="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13" fillId="0" borderId="0" xfId="0" applyNumberFormat="1" applyFont="1" applyFill="1" applyBorder="1" applyAlignment="1">
      <alignment horizontal="right" vertical="center" wrapText="1"/>
    </xf>
    <xf numFmtId="176" fontId="2" fillId="0" borderId="4"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right" vertical="center" wrapText="1"/>
    </xf>
    <xf numFmtId="176" fontId="2" fillId="0" borderId="0" xfId="0" applyNumberFormat="1" applyFont="1" applyFill="1" applyAlignment="1">
      <alignment horizontal="right" vertical="center" wrapText="1"/>
    </xf>
    <xf numFmtId="176" fontId="2" fillId="0" borderId="0" xfId="0" applyNumberFormat="1" applyFont="1" applyFill="1" applyBorder="1" applyAlignment="1">
      <alignment horizontal="right" vertical="center" wrapText="1"/>
    </xf>
    <xf numFmtId="176" fontId="2" fillId="0" borderId="2" xfId="0" applyNumberFormat="1" applyFont="1" applyFill="1" applyBorder="1" applyAlignment="1">
      <alignment horizontal="right" vertical="center" wrapText="1"/>
    </xf>
    <xf numFmtId="176" fontId="2" fillId="0" borderId="3" xfId="0" applyNumberFormat="1" applyFont="1" applyFill="1" applyBorder="1" applyAlignment="1">
      <alignment horizontal="right"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2" fillId="2" borderId="1" xfId="0" applyFont="1" applyFill="1" applyBorder="1" applyAlignment="1">
      <alignment vertical="center" wrapText="1"/>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right" vertical="center" wrapText="1"/>
    </xf>
    <xf numFmtId="0" fontId="2" fillId="2" borderId="1" xfId="0" applyFont="1" applyFill="1" applyBorder="1" applyAlignment="1">
      <alignment vertical="center" wrapText="1"/>
    </xf>
    <xf numFmtId="0" fontId="12" fillId="2" borderId="1" xfId="0" applyFont="1" applyFill="1" applyBorder="1" applyAlignment="1">
      <alignment horizontal="center" vertical="center" wrapText="1"/>
    </xf>
    <xf numFmtId="176" fontId="2" fillId="0" borderId="1"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0" fontId="2" fillId="2" borderId="0" xfId="0" applyFont="1" applyFill="1" applyAlignment="1">
      <alignment horizontal="right" vertical="center" wrapText="1"/>
    </xf>
    <xf numFmtId="177" fontId="2" fillId="2" borderId="0" xfId="0" applyNumberFormat="1" applyFont="1" applyFill="1" applyAlignment="1">
      <alignment horizontal="right" vertical="center" wrapText="1"/>
    </xf>
    <xf numFmtId="0" fontId="2" fillId="0" borderId="1" xfId="0" applyFont="1" applyFill="1" applyBorder="1" applyAlignment="1" quotePrefix="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LED显示屏定单_3" xfId="49"/>
    <cellStyle name="Normal_投标报价_1" xfId="50"/>
    <cellStyle name="_ET_STYLE_NoName_00_" xfId="51"/>
    <cellStyle name="常规_Sheet2" xfId="52"/>
    <cellStyle name="常规_平湖威凤山庄戴思乐投标报价单 2" xfId="53"/>
    <cellStyle name="常规 2 2" xfId="54"/>
    <cellStyle name="常规_平湖威凤山庄戴思乐投标报价单" xfId="55"/>
    <cellStyle name="常规_窗帘_1" xfId="56"/>
    <cellStyle name="0,0&#13;&#10;NA&#13;&#10;" xfId="57"/>
    <cellStyle name="常规_报价单样版(空白)_无名氏" xfId="58"/>
    <cellStyle name="常规 2" xfId="59"/>
    <cellStyle name="常规 2 4" xfId="60"/>
    <cellStyle name="样式 1" xfId="61"/>
    <cellStyle name="常规_湖南60" xfId="62"/>
    <cellStyle name="常规_空调报价清单表" xfId="63"/>
    <cellStyle name="常规_重庆耀亮电子显示屏订单表" xfId="64"/>
    <cellStyle name="常规 7 2 2" xfId="65"/>
    <cellStyle name="常规 4" xfId="66"/>
    <cellStyle name="常规 7 2" xfId="67"/>
    <cellStyle name="常规 14" xfId="68"/>
    <cellStyle name="Normal" xfId="69"/>
    <cellStyle name="常规 35" xfId="70"/>
    <cellStyle name="常规_Sheet1_1" xfId="71"/>
    <cellStyle name="常规_Sheet1" xfId="7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9" Type="http://schemas.openxmlformats.org/officeDocument/2006/relationships/image" Target="media/image105.png"/><Relationship Id="rId98" Type="http://schemas.openxmlformats.org/officeDocument/2006/relationships/image" Target="media/image104.png"/><Relationship Id="rId97" Type="http://schemas.openxmlformats.org/officeDocument/2006/relationships/image" Target="media/image103.png"/><Relationship Id="rId96" Type="http://schemas.openxmlformats.org/officeDocument/2006/relationships/image" Target="media/image102.png"/><Relationship Id="rId95" Type="http://schemas.openxmlformats.org/officeDocument/2006/relationships/image" Target="media/image101.png"/><Relationship Id="rId94" Type="http://schemas.openxmlformats.org/officeDocument/2006/relationships/image" Target="media/image100.png"/><Relationship Id="rId93" Type="http://schemas.openxmlformats.org/officeDocument/2006/relationships/image" Target="media/image99.png"/><Relationship Id="rId92" Type="http://schemas.openxmlformats.org/officeDocument/2006/relationships/image" Target="media/image98.png"/><Relationship Id="rId91" Type="http://schemas.openxmlformats.org/officeDocument/2006/relationships/image" Target="media/image97.png"/><Relationship Id="rId90" Type="http://schemas.openxmlformats.org/officeDocument/2006/relationships/image" Target="media/image96.jpeg"/><Relationship Id="rId9" Type="http://schemas.openxmlformats.org/officeDocument/2006/relationships/image" Target="media/image16.png"/><Relationship Id="rId89" Type="http://schemas.openxmlformats.org/officeDocument/2006/relationships/image" Target="media/image95.png"/><Relationship Id="rId88" Type="http://schemas.openxmlformats.org/officeDocument/2006/relationships/image" Target="media/image94.png"/><Relationship Id="rId87" Type="http://schemas.openxmlformats.org/officeDocument/2006/relationships/image" Target="media/image93.png"/><Relationship Id="rId86" Type="http://schemas.openxmlformats.org/officeDocument/2006/relationships/image" Target="media/image92.png"/><Relationship Id="rId85" Type="http://schemas.openxmlformats.org/officeDocument/2006/relationships/image" Target="media/image91.png"/><Relationship Id="rId84" Type="http://schemas.openxmlformats.org/officeDocument/2006/relationships/image" Target="media/image90.png"/><Relationship Id="rId83" Type="http://schemas.openxmlformats.org/officeDocument/2006/relationships/image" Target="media/image89.png"/><Relationship Id="rId82" Type="http://schemas.openxmlformats.org/officeDocument/2006/relationships/image" Target="media/image88.png"/><Relationship Id="rId81" Type="http://schemas.openxmlformats.org/officeDocument/2006/relationships/image" Target="media/image87.png"/><Relationship Id="rId80" Type="http://schemas.openxmlformats.org/officeDocument/2006/relationships/image" Target="media/image86.png"/><Relationship Id="rId8" Type="http://schemas.openxmlformats.org/officeDocument/2006/relationships/image" Target="media/image15.wmf"/><Relationship Id="rId79" Type="http://schemas.openxmlformats.org/officeDocument/2006/relationships/image" Target="media/image85.png"/><Relationship Id="rId78" Type="http://schemas.openxmlformats.org/officeDocument/2006/relationships/image" Target="media/image84.png"/><Relationship Id="rId77" Type="http://schemas.openxmlformats.org/officeDocument/2006/relationships/image" Target="media/image83.png"/><Relationship Id="rId76" Type="http://schemas.openxmlformats.org/officeDocument/2006/relationships/image" Target="media/image82.png"/><Relationship Id="rId75" Type="http://schemas.openxmlformats.org/officeDocument/2006/relationships/image" Target="media/image81.png"/><Relationship Id="rId74" Type="http://schemas.openxmlformats.org/officeDocument/2006/relationships/image" Target="media/image80.png"/><Relationship Id="rId73" Type="http://schemas.openxmlformats.org/officeDocument/2006/relationships/image" Target="media/image79.png"/><Relationship Id="rId72" Type="http://schemas.openxmlformats.org/officeDocument/2006/relationships/image" Target="media/image78.png"/><Relationship Id="rId71" Type="http://schemas.openxmlformats.org/officeDocument/2006/relationships/image" Target="media/image77.png"/><Relationship Id="rId70" Type="http://schemas.openxmlformats.org/officeDocument/2006/relationships/image" Target="media/image76.png"/><Relationship Id="rId7" Type="http://schemas.openxmlformats.org/officeDocument/2006/relationships/image" Target="media/image14.wmf"/><Relationship Id="rId69" Type="http://schemas.openxmlformats.org/officeDocument/2006/relationships/image" Target="media/image75.png"/><Relationship Id="rId68" Type="http://schemas.openxmlformats.org/officeDocument/2006/relationships/image" Target="media/image74.png"/><Relationship Id="rId67" Type="http://schemas.openxmlformats.org/officeDocument/2006/relationships/image" Target="media/image73.png"/><Relationship Id="rId66" Type="http://schemas.openxmlformats.org/officeDocument/2006/relationships/image" Target="media/image72.png"/><Relationship Id="rId65" Type="http://schemas.openxmlformats.org/officeDocument/2006/relationships/image" Target="media/image71.png"/><Relationship Id="rId64" Type="http://schemas.openxmlformats.org/officeDocument/2006/relationships/image" Target="media/image70.png"/><Relationship Id="rId63" Type="http://schemas.openxmlformats.org/officeDocument/2006/relationships/image" Target="media/image69.png"/><Relationship Id="rId62" Type="http://schemas.openxmlformats.org/officeDocument/2006/relationships/image" Target="media/image68.png"/><Relationship Id="rId61" Type="http://schemas.openxmlformats.org/officeDocument/2006/relationships/image" Target="media/image67.png"/><Relationship Id="rId60" Type="http://schemas.openxmlformats.org/officeDocument/2006/relationships/image" Target="media/image66.png"/><Relationship Id="rId6" Type="http://schemas.openxmlformats.org/officeDocument/2006/relationships/image" Target="media/image13.jpeg"/><Relationship Id="rId59" Type="http://schemas.openxmlformats.org/officeDocument/2006/relationships/image" Target="media/image65.png"/><Relationship Id="rId58" Type="http://schemas.openxmlformats.org/officeDocument/2006/relationships/image" Target="media/image64.jpeg"/><Relationship Id="rId57" Type="http://schemas.openxmlformats.org/officeDocument/2006/relationships/image" Target="media/image63.jpeg"/><Relationship Id="rId56" Type="http://schemas.openxmlformats.org/officeDocument/2006/relationships/image" Target="media/image62.emf"/><Relationship Id="rId55" Type="http://schemas.openxmlformats.org/officeDocument/2006/relationships/image" Target="media/image61.png"/><Relationship Id="rId54" Type="http://schemas.openxmlformats.org/officeDocument/2006/relationships/image" Target="media/image7.png"/><Relationship Id="rId53" Type="http://schemas.openxmlformats.org/officeDocument/2006/relationships/image" Target="media/image60.png"/><Relationship Id="rId52" Type="http://schemas.openxmlformats.org/officeDocument/2006/relationships/image" Target="media/image59.png"/><Relationship Id="rId51" Type="http://schemas.openxmlformats.org/officeDocument/2006/relationships/image" Target="media/image58.png"/><Relationship Id="rId50" Type="http://schemas.openxmlformats.org/officeDocument/2006/relationships/image" Target="media/image57.png"/><Relationship Id="rId5" Type="http://schemas.openxmlformats.org/officeDocument/2006/relationships/image" Target="media/image12.jpeg"/><Relationship Id="rId49" Type="http://schemas.openxmlformats.org/officeDocument/2006/relationships/image" Target="media/image56.png"/><Relationship Id="rId48" Type="http://schemas.openxmlformats.org/officeDocument/2006/relationships/image" Target="media/image55.png"/><Relationship Id="rId47" Type="http://schemas.openxmlformats.org/officeDocument/2006/relationships/image" Target="media/image54.png"/><Relationship Id="rId46" Type="http://schemas.openxmlformats.org/officeDocument/2006/relationships/image" Target="media/image53.png"/><Relationship Id="rId45" Type="http://schemas.openxmlformats.org/officeDocument/2006/relationships/image" Target="media/image52.png"/><Relationship Id="rId44" Type="http://schemas.openxmlformats.org/officeDocument/2006/relationships/image" Target="media/image51.png"/><Relationship Id="rId43" Type="http://schemas.openxmlformats.org/officeDocument/2006/relationships/image" Target="media/image50.png"/><Relationship Id="rId42" Type="http://schemas.openxmlformats.org/officeDocument/2006/relationships/image" Target="media/image49.png"/><Relationship Id="rId41" Type="http://schemas.openxmlformats.org/officeDocument/2006/relationships/image" Target="media/image48.png"/><Relationship Id="rId40" Type="http://schemas.openxmlformats.org/officeDocument/2006/relationships/image" Target="media/image47.png"/><Relationship Id="rId4" Type="http://schemas.openxmlformats.org/officeDocument/2006/relationships/image" Target="media/image11.jpeg"/><Relationship Id="rId39" Type="http://schemas.openxmlformats.org/officeDocument/2006/relationships/image" Target="media/image46.png"/><Relationship Id="rId38" Type="http://schemas.openxmlformats.org/officeDocument/2006/relationships/image" Target="media/image45.png"/><Relationship Id="rId37" Type="http://schemas.openxmlformats.org/officeDocument/2006/relationships/image" Target="media/image44.png"/><Relationship Id="rId36" Type="http://schemas.openxmlformats.org/officeDocument/2006/relationships/image" Target="media/image43.png"/><Relationship Id="rId35" Type="http://schemas.openxmlformats.org/officeDocument/2006/relationships/image" Target="media/image42.jpeg"/><Relationship Id="rId34" Type="http://schemas.openxmlformats.org/officeDocument/2006/relationships/image" Target="media/image41.png"/><Relationship Id="rId33" Type="http://schemas.openxmlformats.org/officeDocument/2006/relationships/image" Target="media/image40.jpeg"/><Relationship Id="rId32" Type="http://schemas.openxmlformats.org/officeDocument/2006/relationships/image" Target="media/image39.png"/><Relationship Id="rId31" Type="http://schemas.openxmlformats.org/officeDocument/2006/relationships/image" Target="media/image38.png"/><Relationship Id="rId30" Type="http://schemas.openxmlformats.org/officeDocument/2006/relationships/image" Target="media/image37.jpeg"/><Relationship Id="rId3" Type="http://schemas.openxmlformats.org/officeDocument/2006/relationships/image" Target="media/image10.jpeg"/><Relationship Id="rId29" Type="http://schemas.openxmlformats.org/officeDocument/2006/relationships/image" Target="media/image36.jpeg"/><Relationship Id="rId28" Type="http://schemas.openxmlformats.org/officeDocument/2006/relationships/image" Target="media/image35.jpeg"/><Relationship Id="rId27" Type="http://schemas.openxmlformats.org/officeDocument/2006/relationships/image" Target="media/image34.png"/><Relationship Id="rId26" Type="http://schemas.openxmlformats.org/officeDocument/2006/relationships/image" Target="media/image33.jpeg"/><Relationship Id="rId25" Type="http://schemas.openxmlformats.org/officeDocument/2006/relationships/image" Target="media/image32.jpeg"/><Relationship Id="rId24" Type="http://schemas.openxmlformats.org/officeDocument/2006/relationships/image" Target="media/image31.png"/><Relationship Id="rId23" Type="http://schemas.openxmlformats.org/officeDocument/2006/relationships/image" Target="media/image30.png"/><Relationship Id="rId22" Type="http://schemas.openxmlformats.org/officeDocument/2006/relationships/image" Target="media/image29.png"/><Relationship Id="rId21" Type="http://schemas.openxmlformats.org/officeDocument/2006/relationships/image" Target="media/image28.png"/><Relationship Id="rId20" Type="http://schemas.openxmlformats.org/officeDocument/2006/relationships/image" Target="media/image27.png"/><Relationship Id="rId2" Type="http://schemas.openxmlformats.org/officeDocument/2006/relationships/image" Target="media/image9.jpeg"/><Relationship Id="rId19" Type="http://schemas.openxmlformats.org/officeDocument/2006/relationships/image" Target="media/image26.png"/><Relationship Id="rId18" Type="http://schemas.openxmlformats.org/officeDocument/2006/relationships/image" Target="media/image25.jpeg"/><Relationship Id="rId17" Type="http://schemas.openxmlformats.org/officeDocument/2006/relationships/image" Target="media/image24.png"/><Relationship Id="rId16" Type="http://schemas.openxmlformats.org/officeDocument/2006/relationships/image" Target="media/image23.png"/><Relationship Id="rId150" Type="http://schemas.openxmlformats.org/officeDocument/2006/relationships/image" Target="media/image155.png"/><Relationship Id="rId15" Type="http://schemas.openxmlformats.org/officeDocument/2006/relationships/image" Target="media/image22.png"/><Relationship Id="rId149" Type="http://schemas.openxmlformats.org/officeDocument/2006/relationships/image" Target="media/image154.jpeg"/><Relationship Id="rId148" Type="http://schemas.openxmlformats.org/officeDocument/2006/relationships/image" Target="media/image153.jpeg"/><Relationship Id="rId147" Type="http://schemas.openxmlformats.org/officeDocument/2006/relationships/image" Target="media/image152.png"/><Relationship Id="rId146" Type="http://schemas.openxmlformats.org/officeDocument/2006/relationships/image" Target="media/image151.jpeg"/><Relationship Id="rId145" Type="http://schemas.openxmlformats.org/officeDocument/2006/relationships/image" Target="media/image150.jpeg"/><Relationship Id="rId144" Type="http://schemas.openxmlformats.org/officeDocument/2006/relationships/image" Target="media/image149.png"/><Relationship Id="rId143" Type="http://schemas.openxmlformats.org/officeDocument/2006/relationships/image" Target="media/image148.png"/><Relationship Id="rId142" Type="http://schemas.openxmlformats.org/officeDocument/2006/relationships/image" Target="media/image147.jpeg"/><Relationship Id="rId141" Type="http://schemas.openxmlformats.org/officeDocument/2006/relationships/image" Target="media/image146.png"/><Relationship Id="rId140" Type="http://schemas.openxmlformats.org/officeDocument/2006/relationships/image" Target="media/image145.png"/><Relationship Id="rId14" Type="http://schemas.openxmlformats.org/officeDocument/2006/relationships/image" Target="media/image21.png"/><Relationship Id="rId139" Type="http://schemas.openxmlformats.org/officeDocument/2006/relationships/image" Target="media/image144.png"/><Relationship Id="rId138" Type="http://schemas.openxmlformats.org/officeDocument/2006/relationships/image" Target="media/image143.png"/><Relationship Id="rId137" Type="http://schemas.openxmlformats.org/officeDocument/2006/relationships/image" Target="media/image142.png"/><Relationship Id="rId136" Type="http://schemas.openxmlformats.org/officeDocument/2006/relationships/image" Target="media/image141.jpeg"/><Relationship Id="rId135" Type="http://schemas.openxmlformats.org/officeDocument/2006/relationships/image" Target="media/image140.jpeg"/><Relationship Id="rId134" Type="http://schemas.openxmlformats.org/officeDocument/2006/relationships/image" Target="media/image139.png"/><Relationship Id="rId133" Type="http://schemas.openxmlformats.org/officeDocument/2006/relationships/image" Target="media/image138.jpeg"/><Relationship Id="rId132" Type="http://schemas.openxmlformats.org/officeDocument/2006/relationships/image" Target="media/image137.jpeg"/><Relationship Id="rId131" Type="http://schemas.openxmlformats.org/officeDocument/2006/relationships/image" Target="media/image136.png"/><Relationship Id="rId130" Type="http://schemas.openxmlformats.org/officeDocument/2006/relationships/image" Target="media/image135.png"/><Relationship Id="rId13" Type="http://schemas.openxmlformats.org/officeDocument/2006/relationships/image" Target="media/image20.png"/><Relationship Id="rId129" Type="http://schemas.openxmlformats.org/officeDocument/2006/relationships/image" Target="media/image134.png"/><Relationship Id="rId128" Type="http://schemas.openxmlformats.org/officeDocument/2006/relationships/image" Target="media/image133.jpeg"/><Relationship Id="rId127" Type="http://schemas.openxmlformats.org/officeDocument/2006/relationships/image" Target="media/image132.jpeg"/><Relationship Id="rId126" Type="http://schemas.openxmlformats.org/officeDocument/2006/relationships/image" Target="media/image131.png"/><Relationship Id="rId125" Type="http://schemas.openxmlformats.org/officeDocument/2006/relationships/image" Target="media/image130.png"/><Relationship Id="rId124" Type="http://schemas.openxmlformats.org/officeDocument/2006/relationships/image" Target="media/image129.png"/><Relationship Id="rId123" Type="http://schemas.openxmlformats.org/officeDocument/2006/relationships/image" Target="media/image128.png"/><Relationship Id="rId122" Type="http://schemas.openxmlformats.org/officeDocument/2006/relationships/image" Target="media/image127.jpeg"/><Relationship Id="rId121" Type="http://schemas.openxmlformats.org/officeDocument/2006/relationships/image" Target="media/image126.png"/><Relationship Id="rId120" Type="http://schemas.openxmlformats.org/officeDocument/2006/relationships/image" Target="media/image125.jpeg"/><Relationship Id="rId12" Type="http://schemas.openxmlformats.org/officeDocument/2006/relationships/image" Target="media/image19.png"/><Relationship Id="rId119" Type="http://schemas.openxmlformats.org/officeDocument/2006/relationships/image" Target="media/image124.png"/><Relationship Id="rId118" Type="http://schemas.openxmlformats.org/officeDocument/2006/relationships/image" Target="media/image123.png"/><Relationship Id="rId117" Type="http://schemas.openxmlformats.org/officeDocument/2006/relationships/image" Target="media/image122.png"/><Relationship Id="rId116" Type="http://schemas.openxmlformats.org/officeDocument/2006/relationships/image" Target="media/image121.jpeg"/><Relationship Id="rId115" Type="http://schemas.openxmlformats.org/officeDocument/2006/relationships/image" Target="media/image120.jpeg"/><Relationship Id="rId114" Type="http://schemas.openxmlformats.org/officeDocument/2006/relationships/image" Target="media/image119.jpeg"/><Relationship Id="rId113" Type="http://schemas.openxmlformats.org/officeDocument/2006/relationships/image" Target="media/image5.png"/><Relationship Id="rId112" Type="http://schemas.openxmlformats.org/officeDocument/2006/relationships/image" Target="media/image118.jpeg"/><Relationship Id="rId111" Type="http://schemas.openxmlformats.org/officeDocument/2006/relationships/image" Target="media/image117.png"/><Relationship Id="rId110" Type="http://schemas.openxmlformats.org/officeDocument/2006/relationships/image" Target="media/image116.png"/><Relationship Id="rId11" Type="http://schemas.openxmlformats.org/officeDocument/2006/relationships/image" Target="media/image18.png"/><Relationship Id="rId109" Type="http://schemas.openxmlformats.org/officeDocument/2006/relationships/image" Target="media/image115.png"/><Relationship Id="rId108" Type="http://schemas.openxmlformats.org/officeDocument/2006/relationships/image" Target="media/image114.png"/><Relationship Id="rId107" Type="http://schemas.openxmlformats.org/officeDocument/2006/relationships/image" Target="media/image113.jpeg"/><Relationship Id="rId106" Type="http://schemas.openxmlformats.org/officeDocument/2006/relationships/image" Target="media/image112.jpeg"/><Relationship Id="rId105" Type="http://schemas.openxmlformats.org/officeDocument/2006/relationships/image" Target="media/image111.png"/><Relationship Id="rId104" Type="http://schemas.openxmlformats.org/officeDocument/2006/relationships/image" Target="media/image110.png"/><Relationship Id="rId103" Type="http://schemas.openxmlformats.org/officeDocument/2006/relationships/image" Target="media/image109.png"/><Relationship Id="rId102" Type="http://schemas.openxmlformats.org/officeDocument/2006/relationships/image" Target="media/image108.png"/><Relationship Id="rId101" Type="http://schemas.openxmlformats.org/officeDocument/2006/relationships/image" Target="media/image107.png"/><Relationship Id="rId100" Type="http://schemas.openxmlformats.org/officeDocument/2006/relationships/image" Target="media/image106.png"/><Relationship Id="rId10" Type="http://schemas.openxmlformats.org/officeDocument/2006/relationships/image" Target="media/image17.png"/><Relationship Id="rId1" Type="http://schemas.openxmlformats.org/officeDocument/2006/relationships/image" Target="media/image8.jpeg"/></Relationships>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619125</xdr:colOff>
      <xdr:row>30</xdr:row>
      <xdr:rowOff>38100</xdr:rowOff>
    </xdr:from>
    <xdr:to>
      <xdr:col>2</xdr:col>
      <xdr:colOff>866775</xdr:colOff>
      <xdr:row>30</xdr:row>
      <xdr:rowOff>758190</xdr:rowOff>
    </xdr:to>
    <xdr:pic>
      <xdr:nvPicPr>
        <xdr:cNvPr id="2" name="图片 1"/>
        <xdr:cNvPicPr>
          <a:picLocks noChangeAspect="1"/>
        </xdr:cNvPicPr>
      </xdr:nvPicPr>
      <xdr:blipFill>
        <a:blip r:embed="rId1"/>
        <a:stretch>
          <a:fillRect/>
        </a:stretch>
      </xdr:blipFill>
      <xdr:spPr>
        <a:xfrm>
          <a:off x="2062480" y="22631400"/>
          <a:ext cx="247650" cy="720090"/>
        </a:xfrm>
        <a:prstGeom prst="rect">
          <a:avLst/>
        </a:prstGeom>
        <a:noFill/>
        <a:ln w="9525">
          <a:noFill/>
        </a:ln>
      </xdr:spPr>
    </xdr:pic>
    <xdr:clientData/>
  </xdr:twoCellAnchor>
  <xdr:twoCellAnchor editAs="oneCell">
    <xdr:from>
      <xdr:col>2</xdr:col>
      <xdr:colOff>76200</xdr:colOff>
      <xdr:row>30</xdr:row>
      <xdr:rowOff>0</xdr:rowOff>
    </xdr:from>
    <xdr:to>
      <xdr:col>2</xdr:col>
      <xdr:colOff>1574165</xdr:colOff>
      <xdr:row>30</xdr:row>
      <xdr:rowOff>449580</xdr:rowOff>
    </xdr:to>
    <xdr:pic>
      <xdr:nvPicPr>
        <xdr:cNvPr id="3" name="图片 7" descr="MITGJ]9}V8K}LQ1UXY9G79W"/>
        <xdr:cNvPicPr>
          <a:picLocks noChangeAspect="1"/>
        </xdr:cNvPicPr>
      </xdr:nvPicPr>
      <xdr:blipFill>
        <a:blip r:embed="rId2"/>
        <a:stretch>
          <a:fillRect/>
        </a:stretch>
      </xdr:blipFill>
      <xdr:spPr>
        <a:xfrm>
          <a:off x="1519555" y="22593300"/>
          <a:ext cx="1497965" cy="449580"/>
        </a:xfrm>
        <a:prstGeom prst="rect">
          <a:avLst/>
        </a:prstGeom>
        <a:noFill/>
        <a:ln w="9525">
          <a:noFill/>
        </a:ln>
      </xdr:spPr>
    </xdr:pic>
    <xdr:clientData/>
  </xdr:twoCellAnchor>
  <xdr:twoCellAnchor editAs="oneCell">
    <xdr:from>
      <xdr:col>2</xdr:col>
      <xdr:colOff>152400</xdr:colOff>
      <xdr:row>31</xdr:row>
      <xdr:rowOff>323850</xdr:rowOff>
    </xdr:from>
    <xdr:to>
      <xdr:col>2</xdr:col>
      <xdr:colOff>1054735</xdr:colOff>
      <xdr:row>31</xdr:row>
      <xdr:rowOff>579120</xdr:rowOff>
    </xdr:to>
    <xdr:pic>
      <xdr:nvPicPr>
        <xdr:cNvPr id="4" name="图片 4" descr="WD1@)T4DXNLVJH%F4ORRYEL"/>
        <xdr:cNvPicPr>
          <a:picLocks noChangeAspect="1"/>
        </xdr:cNvPicPr>
      </xdr:nvPicPr>
      <xdr:blipFill>
        <a:blip r:embed="rId3"/>
        <a:stretch>
          <a:fillRect/>
        </a:stretch>
      </xdr:blipFill>
      <xdr:spPr>
        <a:xfrm>
          <a:off x="1595755" y="23679150"/>
          <a:ext cx="902335" cy="255270"/>
        </a:xfrm>
        <a:prstGeom prst="rect">
          <a:avLst/>
        </a:prstGeom>
        <a:noFill/>
        <a:ln w="9525">
          <a:noFill/>
        </a:ln>
      </xdr:spPr>
    </xdr:pic>
    <xdr:clientData/>
  </xdr:twoCellAnchor>
  <xdr:twoCellAnchor editAs="oneCell">
    <xdr:from>
      <xdr:col>2</xdr:col>
      <xdr:colOff>361950</xdr:colOff>
      <xdr:row>32</xdr:row>
      <xdr:rowOff>304800</xdr:rowOff>
    </xdr:from>
    <xdr:to>
      <xdr:col>2</xdr:col>
      <xdr:colOff>1368425</xdr:colOff>
      <xdr:row>32</xdr:row>
      <xdr:rowOff>622300</xdr:rowOff>
    </xdr:to>
    <xdr:pic>
      <xdr:nvPicPr>
        <xdr:cNvPr id="6" name="图片 5" descr="]DHSV{[4WZ@KVFNJ_8XI4IC"/>
        <xdr:cNvPicPr>
          <a:picLocks noChangeAspect="1"/>
        </xdr:cNvPicPr>
      </xdr:nvPicPr>
      <xdr:blipFill>
        <a:blip r:embed="rId4"/>
        <a:stretch>
          <a:fillRect/>
        </a:stretch>
      </xdr:blipFill>
      <xdr:spPr>
        <a:xfrm>
          <a:off x="1805305" y="24422100"/>
          <a:ext cx="1006475" cy="317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11</xdr:col>
      <xdr:colOff>622300</xdr:colOff>
      <xdr:row>54</xdr:row>
      <xdr:rowOff>1010285</xdr:rowOff>
    </xdr:from>
    <xdr:to>
      <xdr:col>12</xdr:col>
      <xdr:colOff>219075</xdr:colOff>
      <xdr:row>54</xdr:row>
      <xdr:rowOff>1010285</xdr:rowOff>
    </xdr:to>
    <xdr:pic>
      <xdr:nvPicPr>
        <xdr:cNvPr id="2" name="图片 1"/>
        <xdr:cNvPicPr>
          <a:picLocks noChangeAspect="1"/>
        </xdr:cNvPicPr>
      </xdr:nvPicPr>
      <xdr:blipFill>
        <a:blip r:embed="rId1"/>
        <a:srcRect l="47915" t="35579" r="14962" b="3559"/>
        <a:stretch>
          <a:fillRect/>
        </a:stretch>
      </xdr:blipFill>
      <xdr:spPr>
        <a:xfrm>
          <a:off x="15684500" y="118967885"/>
          <a:ext cx="939165" cy="0"/>
        </a:xfrm>
        <a:prstGeom prst="rect">
          <a:avLst/>
        </a:prstGeom>
      </xdr:spPr>
    </xdr:pic>
    <xdr:clientData/>
  </xdr:twoCellAnchor>
  <xdr:twoCellAnchor>
    <xdr:from>
      <xdr:col>11</xdr:col>
      <xdr:colOff>642620</xdr:colOff>
      <xdr:row>35</xdr:row>
      <xdr:rowOff>1506855</xdr:rowOff>
    </xdr:from>
    <xdr:to>
      <xdr:col>12</xdr:col>
      <xdr:colOff>170180</xdr:colOff>
      <xdr:row>35</xdr:row>
      <xdr:rowOff>1506855</xdr:rowOff>
    </xdr:to>
    <xdr:pic>
      <xdr:nvPicPr>
        <xdr:cNvPr id="3" name="图片 2"/>
        <xdr:cNvPicPr>
          <a:picLocks noChangeAspect="1"/>
        </xdr:cNvPicPr>
      </xdr:nvPicPr>
      <xdr:blipFill>
        <a:blip r:embed="rId2"/>
        <a:srcRect l="28973" t="10994" r="29757" b="4564"/>
        <a:stretch>
          <a:fillRect/>
        </a:stretch>
      </xdr:blipFill>
      <xdr:spPr>
        <a:xfrm>
          <a:off x="15704820" y="75027155"/>
          <a:ext cx="869950" cy="0"/>
        </a:xfrm>
        <a:prstGeom prst="rect">
          <a:avLst/>
        </a:prstGeom>
      </xdr:spPr>
    </xdr:pic>
    <xdr:clientData/>
  </xdr:twoCellAnchor>
  <xdr:twoCellAnchor>
    <xdr:from>
      <xdr:col>11</xdr:col>
      <xdr:colOff>641350</xdr:colOff>
      <xdr:row>40</xdr:row>
      <xdr:rowOff>1510030</xdr:rowOff>
    </xdr:from>
    <xdr:to>
      <xdr:col>12</xdr:col>
      <xdr:colOff>168910</xdr:colOff>
      <xdr:row>40</xdr:row>
      <xdr:rowOff>1510030</xdr:rowOff>
    </xdr:to>
    <xdr:pic>
      <xdr:nvPicPr>
        <xdr:cNvPr id="4" name="图片 3"/>
        <xdr:cNvPicPr>
          <a:picLocks noChangeAspect="1"/>
        </xdr:cNvPicPr>
      </xdr:nvPicPr>
      <xdr:blipFill>
        <a:blip r:embed="rId2"/>
        <a:srcRect l="28973" t="10994" r="29757" b="4564"/>
        <a:stretch>
          <a:fillRect/>
        </a:stretch>
      </xdr:blipFill>
      <xdr:spPr>
        <a:xfrm>
          <a:off x="15703550" y="90371930"/>
          <a:ext cx="869950" cy="0"/>
        </a:xfrm>
        <a:prstGeom prst="rect">
          <a:avLst/>
        </a:prstGeom>
      </xdr:spPr>
    </xdr:pic>
    <xdr:clientData/>
  </xdr:twoCellAnchor>
  <xdr:twoCellAnchor>
    <xdr:from>
      <xdr:col>2</xdr:col>
      <xdr:colOff>217805</xdr:colOff>
      <xdr:row>125</xdr:row>
      <xdr:rowOff>1329055</xdr:rowOff>
    </xdr:from>
    <xdr:to>
      <xdr:col>2</xdr:col>
      <xdr:colOff>916305</xdr:colOff>
      <xdr:row>125</xdr:row>
      <xdr:rowOff>2380615</xdr:rowOff>
    </xdr:to>
    <xdr:pic>
      <xdr:nvPicPr>
        <xdr:cNvPr id="5" name="图片 3"/>
        <xdr:cNvPicPr>
          <a:picLocks noChangeAspect="1"/>
        </xdr:cNvPicPr>
      </xdr:nvPicPr>
      <xdr:blipFill>
        <a:blip r:embed="rId3"/>
        <a:stretch>
          <a:fillRect/>
        </a:stretch>
      </xdr:blipFill>
      <xdr:spPr>
        <a:xfrm>
          <a:off x="1849120" y="190169800"/>
          <a:ext cx="698500" cy="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0"/>
  <sheetViews>
    <sheetView tabSelected="1" zoomScale="80" zoomScaleNormal="80" workbookViewId="0">
      <pane ySplit="2" topLeftCell="A3" activePane="bottomLeft" state="frozen"/>
      <selection/>
      <selection pane="bottomLeft" activeCell="L32" sqref="L32"/>
    </sheetView>
  </sheetViews>
  <sheetFormatPr defaultColWidth="9" defaultRowHeight="12"/>
  <cols>
    <col min="1" max="1" width="7.44166666666667" style="2" customWidth="1"/>
    <col min="2" max="2" width="11.5" style="2" customWidth="1"/>
    <col min="3" max="3" width="21.3083333333333" style="2" customWidth="1"/>
    <col min="4" max="4" width="48.3916666666667" style="2" customWidth="1"/>
    <col min="5" max="5" width="17.775" style="2" customWidth="1"/>
    <col min="6" max="6" width="6.775" style="2" customWidth="1"/>
    <col min="7" max="11" width="12.775" style="2" customWidth="1"/>
    <col min="12" max="13" width="17.6166666666667" style="5" customWidth="1"/>
    <col min="14" max="15" width="9.66666666666667" style="5"/>
    <col min="16" max="17" width="12.6333333333333" style="5"/>
    <col min="18" max="16384" width="9" style="2"/>
  </cols>
  <sheetData>
    <row r="1" ht="60" customHeight="1" spans="1:11">
      <c r="A1" s="6" t="s">
        <v>0</v>
      </c>
      <c r="B1" s="6"/>
      <c r="C1" s="6"/>
      <c r="D1" s="6"/>
      <c r="E1" s="6"/>
      <c r="F1" s="6"/>
      <c r="G1" s="6"/>
      <c r="H1" s="6"/>
      <c r="I1" s="6"/>
      <c r="J1" s="6"/>
      <c r="K1" s="25"/>
    </row>
    <row r="2" s="1" customFormat="1" ht="40" customHeight="1" spans="1:17">
      <c r="A2" s="7" t="s">
        <v>1</v>
      </c>
      <c r="B2" s="7" t="s">
        <v>2</v>
      </c>
      <c r="C2" s="7" t="s">
        <v>3</v>
      </c>
      <c r="D2" s="7" t="s">
        <v>4</v>
      </c>
      <c r="E2" s="7" t="s">
        <v>5</v>
      </c>
      <c r="F2" s="8" t="s">
        <v>6</v>
      </c>
      <c r="G2" s="8" t="s">
        <v>7</v>
      </c>
      <c r="H2" s="26" t="s">
        <v>8</v>
      </c>
      <c r="I2" s="26" t="s">
        <v>9</v>
      </c>
      <c r="J2" s="26" t="s">
        <v>10</v>
      </c>
      <c r="L2" s="27"/>
      <c r="M2" s="27"/>
      <c r="N2" s="27"/>
      <c r="O2" s="27"/>
      <c r="P2" s="27"/>
      <c r="Q2" s="27"/>
    </row>
    <row r="3" s="1" customFormat="1" ht="51" customHeight="1" spans="1:17">
      <c r="A3" s="8" t="s">
        <v>11</v>
      </c>
      <c r="B3" s="8" t="s">
        <v>12</v>
      </c>
      <c r="C3" s="8"/>
      <c r="D3" s="8"/>
      <c r="E3" s="8"/>
      <c r="F3" s="24"/>
      <c r="G3" s="10"/>
      <c r="H3" s="9"/>
      <c r="I3" s="9"/>
      <c r="J3" s="26"/>
      <c r="L3" s="27"/>
      <c r="M3" s="27"/>
      <c r="N3" s="27"/>
      <c r="O3" s="27"/>
      <c r="P3" s="28"/>
      <c r="Q3" s="28"/>
    </row>
    <row r="4" ht="60" customHeight="1" outlineLevel="1" spans="1:17">
      <c r="A4" s="12">
        <v>1</v>
      </c>
      <c r="B4" s="12" t="s">
        <v>13</v>
      </c>
      <c r="C4" s="39" t="str">
        <f>_xlfn.DISPIMG("ID_F3DB7805EDA74871A997B73C92C58C42",1)</f>
        <v>=DISPIMG("ID_F3DB7805EDA74871A997B73C92C58C42",1)</v>
      </c>
      <c r="D4" s="12" t="s">
        <v>14</v>
      </c>
      <c r="E4" s="12" t="s">
        <v>15</v>
      </c>
      <c r="F4" s="14" t="s">
        <v>16</v>
      </c>
      <c r="G4" s="15">
        <v>1</v>
      </c>
      <c r="H4" s="15">
        <v>616.67</v>
      </c>
      <c r="I4" s="15">
        <v>616.67</v>
      </c>
      <c r="J4" s="12"/>
      <c r="P4" s="28"/>
      <c r="Q4" s="28"/>
    </row>
    <row r="5" ht="60" customHeight="1" outlineLevel="1" spans="1:17">
      <c r="A5" s="12">
        <v>2</v>
      </c>
      <c r="B5" s="12" t="s">
        <v>17</v>
      </c>
      <c r="C5" s="39" t="str">
        <f>_xlfn.DISPIMG("ID_D3813FBA72DA4343BA64DE35A4FACDBD",1)</f>
        <v>=DISPIMG("ID_D3813FBA72DA4343BA64DE35A4FACDBD",1)</v>
      </c>
      <c r="D5" s="12" t="s">
        <v>18</v>
      </c>
      <c r="E5" s="29" t="s">
        <v>19</v>
      </c>
      <c r="F5" s="14" t="s">
        <v>20</v>
      </c>
      <c r="G5" s="15">
        <v>800</v>
      </c>
      <c r="H5" s="15">
        <v>3.37</v>
      </c>
      <c r="I5" s="15">
        <f>H5*G5</f>
        <v>2696</v>
      </c>
      <c r="J5" s="12" t="s">
        <v>21</v>
      </c>
      <c r="P5" s="28"/>
      <c r="Q5" s="28"/>
    </row>
    <row r="6" ht="60" customHeight="1" outlineLevel="1" spans="1:17">
      <c r="A6" s="12">
        <v>3</v>
      </c>
      <c r="B6" s="12" t="s">
        <v>22</v>
      </c>
      <c r="C6" s="40" t="str">
        <f>_xlfn.DISPIMG("ID_6B8B627AB5A94DEE99FAAF5638692484",1)</f>
        <v>=DISPIMG("ID_6B8B627AB5A94DEE99FAAF5638692484",1)</v>
      </c>
      <c r="D6" s="12" t="s">
        <v>23</v>
      </c>
      <c r="E6" s="12" t="s">
        <v>24</v>
      </c>
      <c r="F6" s="14" t="s">
        <v>16</v>
      </c>
      <c r="G6" s="15">
        <v>20</v>
      </c>
      <c r="H6" s="15">
        <v>148.33</v>
      </c>
      <c r="I6" s="15">
        <f>H6*G6</f>
        <v>2966.6</v>
      </c>
      <c r="J6" s="12"/>
      <c r="P6" s="28"/>
      <c r="Q6" s="28"/>
    </row>
    <row r="7" s="51" customFormat="1" ht="60" customHeight="1" outlineLevel="1" spans="1:17">
      <c r="A7" s="12">
        <v>4</v>
      </c>
      <c r="B7" s="52" t="s">
        <v>25</v>
      </c>
      <c r="C7" s="53" t="str">
        <f>_xlfn.DISPIMG("ID_776FF81B874F42E9B8616796A747A4B8",1)</f>
        <v>=DISPIMG("ID_776FF81B874F42E9B8616796A747A4B8",1)</v>
      </c>
      <c r="D7" s="52" t="s">
        <v>26</v>
      </c>
      <c r="E7" s="52" t="s">
        <v>27</v>
      </c>
      <c r="F7" s="54" t="s">
        <v>16</v>
      </c>
      <c r="G7" s="55">
        <v>4</v>
      </c>
      <c r="H7" s="55">
        <v>94</v>
      </c>
      <c r="I7" s="55">
        <f>H7*G7</f>
        <v>376</v>
      </c>
      <c r="J7" s="52"/>
      <c r="K7" s="51"/>
      <c r="L7" s="60"/>
      <c r="M7" s="60"/>
      <c r="N7" s="60"/>
      <c r="O7" s="60"/>
      <c r="P7" s="61"/>
      <c r="Q7" s="61"/>
    </row>
    <row r="8" ht="60" customHeight="1" outlineLevel="1" spans="1:17">
      <c r="A8" s="12">
        <v>5</v>
      </c>
      <c r="B8" s="12" t="s">
        <v>28</v>
      </c>
      <c r="C8" s="40" t="str">
        <f>_xlfn.DISPIMG("ID_64CE7C0FCE5E4B57B6276779C7D82EF6",1)</f>
        <v>=DISPIMG("ID_64CE7C0FCE5E4B57B6276779C7D82EF6",1)</v>
      </c>
      <c r="D8" s="12" t="s">
        <v>29</v>
      </c>
      <c r="E8" s="12" t="s">
        <v>30</v>
      </c>
      <c r="F8" s="14" t="s">
        <v>16</v>
      </c>
      <c r="G8" s="15">
        <v>100</v>
      </c>
      <c r="H8" s="15">
        <v>32.67</v>
      </c>
      <c r="I8" s="15">
        <f t="shared" ref="I8:I16" si="0">H8*G8</f>
        <v>3267</v>
      </c>
      <c r="J8" s="12"/>
      <c r="P8" s="28"/>
      <c r="Q8" s="28"/>
    </row>
    <row r="9" s="51" customFormat="1" ht="60" customHeight="1" outlineLevel="1" spans="1:17">
      <c r="A9" s="12">
        <v>6</v>
      </c>
      <c r="B9" s="52" t="s">
        <v>31</v>
      </c>
      <c r="C9" s="53" t="str">
        <f>_xlfn.DISPIMG("ID_20F5540D3FA443C0BCDEFA1850B4E551",1)</f>
        <v>=DISPIMG("ID_20F5540D3FA443C0BCDEFA1850B4E551",1)</v>
      </c>
      <c r="D9" s="52" t="s">
        <v>32</v>
      </c>
      <c r="E9" s="52" t="s">
        <v>33</v>
      </c>
      <c r="F9" s="54" t="s">
        <v>16</v>
      </c>
      <c r="G9" s="55">
        <v>32</v>
      </c>
      <c r="H9" s="55">
        <v>68.33</v>
      </c>
      <c r="I9" s="55">
        <f t="shared" si="0"/>
        <v>2186.56</v>
      </c>
      <c r="J9" s="52" t="s">
        <v>34</v>
      </c>
      <c r="K9" s="51"/>
      <c r="L9" s="60"/>
      <c r="M9" s="60"/>
      <c r="N9" s="60"/>
      <c r="O9" s="60"/>
      <c r="P9" s="61"/>
      <c r="Q9" s="61"/>
    </row>
    <row r="10" ht="60" customHeight="1" outlineLevel="1" spans="1:17">
      <c r="A10" s="12">
        <v>7</v>
      </c>
      <c r="B10" s="12" t="s">
        <v>35</v>
      </c>
      <c r="C10" s="39" t="str">
        <f>_xlfn.DISPIMG("ID_06B6B717D7D04AC19531247F46D38394",1)</f>
        <v>=DISPIMG("ID_06B6B717D7D04AC19531247F46D38394",1)</v>
      </c>
      <c r="D10" s="12" t="s">
        <v>29</v>
      </c>
      <c r="E10" s="12" t="s">
        <v>36</v>
      </c>
      <c r="F10" s="14" t="s">
        <v>16</v>
      </c>
      <c r="G10" s="15">
        <v>20</v>
      </c>
      <c r="H10" s="15">
        <v>35.67</v>
      </c>
      <c r="I10" s="15">
        <f t="shared" si="0"/>
        <v>713.4</v>
      </c>
      <c r="J10" s="12"/>
      <c r="P10" s="28"/>
      <c r="Q10" s="28"/>
    </row>
    <row r="11" ht="60" customHeight="1" outlineLevel="1" spans="1:17">
      <c r="A11" s="12">
        <v>8</v>
      </c>
      <c r="B11" s="12" t="s">
        <v>37</v>
      </c>
      <c r="C11" s="39" t="str">
        <f>_xlfn.DISPIMG("ID_8BDF2290FCCB4D0C8EDF02F3269C5F8C",1)</f>
        <v>=DISPIMG("ID_8BDF2290FCCB4D0C8EDF02F3269C5F8C",1)</v>
      </c>
      <c r="D11" s="12" t="s">
        <v>23</v>
      </c>
      <c r="E11" s="12" t="s">
        <v>38</v>
      </c>
      <c r="F11" s="14" t="s">
        <v>16</v>
      </c>
      <c r="G11" s="15">
        <v>15</v>
      </c>
      <c r="H11" s="15">
        <v>40.67</v>
      </c>
      <c r="I11" s="15">
        <f t="shared" si="0"/>
        <v>610.05</v>
      </c>
      <c r="J11" s="12"/>
      <c r="P11" s="28"/>
      <c r="Q11" s="28"/>
    </row>
    <row r="12" ht="60" customHeight="1" outlineLevel="1" spans="1:17">
      <c r="A12" s="12">
        <v>9</v>
      </c>
      <c r="B12" s="12" t="s">
        <v>37</v>
      </c>
      <c r="C12" s="39" t="str">
        <f>_xlfn.DISPIMG("ID_1F5BD9A5044F4AD2AE51E984473EAC39",1)</f>
        <v>=DISPIMG("ID_1F5BD9A5044F4AD2AE51E984473EAC39",1)</v>
      </c>
      <c r="D12" s="12" t="s">
        <v>23</v>
      </c>
      <c r="E12" s="12" t="s">
        <v>39</v>
      </c>
      <c r="F12" s="14" t="s">
        <v>16</v>
      </c>
      <c r="G12" s="15">
        <v>136</v>
      </c>
      <c r="H12" s="15">
        <v>20.33</v>
      </c>
      <c r="I12" s="15">
        <f t="shared" si="0"/>
        <v>2764.88</v>
      </c>
      <c r="J12" s="12"/>
      <c r="P12" s="28"/>
      <c r="Q12" s="28"/>
    </row>
    <row r="13" ht="60" customHeight="1" outlineLevel="1" spans="1:17">
      <c r="A13" s="12">
        <v>10</v>
      </c>
      <c r="B13" s="12" t="s">
        <v>37</v>
      </c>
      <c r="C13" s="40" t="str">
        <f>_xlfn.DISPIMG("ID_BC53B4001AB64F05AB5A513F7BB20A0C",1)</f>
        <v>=DISPIMG("ID_BC53B4001AB64F05AB5A513F7BB20A0C",1)</v>
      </c>
      <c r="D13" s="12" t="s">
        <v>23</v>
      </c>
      <c r="E13" s="12" t="s">
        <v>40</v>
      </c>
      <c r="F13" s="14" t="s">
        <v>16</v>
      </c>
      <c r="G13" s="15">
        <v>136</v>
      </c>
      <c r="H13" s="15">
        <v>20.33</v>
      </c>
      <c r="I13" s="15">
        <f t="shared" si="0"/>
        <v>2764.88</v>
      </c>
      <c r="J13" s="12"/>
      <c r="P13" s="28"/>
      <c r="Q13" s="28"/>
    </row>
    <row r="14" ht="60" customHeight="1" outlineLevel="1" spans="1:17">
      <c r="A14" s="12">
        <v>11</v>
      </c>
      <c r="B14" s="12" t="s">
        <v>41</v>
      </c>
      <c r="C14" s="40" t="str">
        <f>_xlfn.DISPIMG("ID_7BFC56F4A86542D7B7F3D117DB67D530",1)</f>
        <v>=DISPIMG("ID_7BFC56F4A86542D7B7F3D117DB67D530",1)</v>
      </c>
      <c r="D14" s="12" t="s">
        <v>29</v>
      </c>
      <c r="E14" s="12" t="s">
        <v>38</v>
      </c>
      <c r="F14" s="14" t="s">
        <v>16</v>
      </c>
      <c r="G14" s="15">
        <v>3</v>
      </c>
      <c r="H14" s="15">
        <v>61.33</v>
      </c>
      <c r="I14" s="15">
        <f t="shared" si="0"/>
        <v>183.99</v>
      </c>
      <c r="J14" s="12"/>
      <c r="P14" s="28"/>
      <c r="Q14" s="28"/>
    </row>
    <row r="15" ht="60" customHeight="1" outlineLevel="1" spans="1:17">
      <c r="A15" s="12">
        <v>12</v>
      </c>
      <c r="B15" s="12" t="s">
        <v>37</v>
      </c>
      <c r="C15" s="39" t="str">
        <f>_xlfn.DISPIMG("ID_B9B9CB424A0940A4ADDDFB998E56FF1F",1)</f>
        <v>=DISPIMG("ID_B9B9CB424A0940A4ADDDFB998E56FF1F",1)</v>
      </c>
      <c r="D15" s="12" t="s">
        <v>29</v>
      </c>
      <c r="E15" s="12" t="s">
        <v>42</v>
      </c>
      <c r="F15" s="14" t="s">
        <v>16</v>
      </c>
      <c r="G15" s="15">
        <v>136</v>
      </c>
      <c r="H15" s="15">
        <v>20.33</v>
      </c>
      <c r="I15" s="15">
        <f t="shared" si="0"/>
        <v>2764.88</v>
      </c>
      <c r="J15" s="12"/>
      <c r="P15" s="28"/>
      <c r="Q15" s="28"/>
    </row>
    <row r="16" s="2" customFormat="1" ht="60" customHeight="1" outlineLevel="1" spans="1:17">
      <c r="A16" s="12">
        <v>13</v>
      </c>
      <c r="B16" s="12" t="s">
        <v>43</v>
      </c>
      <c r="C16" s="39" t="str">
        <f>_xlfn.DISPIMG("ID_3C71DB95F89C40C9A33FDD331BCD46BA",1)</f>
        <v>=DISPIMG("ID_3C71DB95F89C40C9A33FDD331BCD46BA",1)</v>
      </c>
      <c r="D16" s="12" t="s">
        <v>29</v>
      </c>
      <c r="E16" s="12" t="s">
        <v>44</v>
      </c>
      <c r="F16" s="14" t="s">
        <v>16</v>
      </c>
      <c r="G16" s="15">
        <v>8</v>
      </c>
      <c r="H16" s="15">
        <v>82.67</v>
      </c>
      <c r="I16" s="15">
        <f t="shared" si="0"/>
        <v>661.36</v>
      </c>
      <c r="J16" s="12"/>
      <c r="L16" s="5"/>
      <c r="M16" s="5"/>
      <c r="N16" s="5"/>
      <c r="O16" s="5"/>
      <c r="P16" s="28"/>
      <c r="Q16" s="28"/>
    </row>
    <row r="17" s="2" customFormat="1" ht="60" customHeight="1" outlineLevel="1" spans="1:17">
      <c r="A17" s="12">
        <v>14</v>
      </c>
      <c r="B17" s="12" t="s">
        <v>45</v>
      </c>
      <c r="C17" s="39" t="str">
        <f>_xlfn.DISPIMG("ID_5A7BB4851CC043BEBDCE669CDC97F160",1)</f>
        <v>=DISPIMG("ID_5A7BB4851CC043BEBDCE669CDC97F160",1)</v>
      </c>
      <c r="D17" s="12" t="s">
        <v>46</v>
      </c>
      <c r="E17" s="12" t="s">
        <v>47</v>
      </c>
      <c r="F17" s="14" t="s">
        <v>48</v>
      </c>
      <c r="G17" s="15">
        <v>1</v>
      </c>
      <c r="H17" s="15">
        <v>669.67</v>
      </c>
      <c r="I17" s="15">
        <f>G17*H17</f>
        <v>669.67</v>
      </c>
      <c r="J17" s="12"/>
      <c r="K17" s="2"/>
      <c r="L17" s="5"/>
      <c r="M17" s="5"/>
      <c r="N17" s="5"/>
      <c r="O17" s="5"/>
      <c r="P17" s="28"/>
      <c r="Q17" s="28"/>
    </row>
    <row r="18" s="51" customFormat="1" ht="68" customHeight="1" outlineLevel="1" spans="1:17">
      <c r="A18" s="12">
        <v>15</v>
      </c>
      <c r="B18" s="52" t="s">
        <v>49</v>
      </c>
      <c r="C18" s="56" t="str">
        <f>_xlfn.DISPIMG("ID_A2361A16A27D48719AB112E970E96318",1)</f>
        <v>=DISPIMG("ID_A2361A16A27D48719AB112E970E96318",1)</v>
      </c>
      <c r="D18" s="52" t="s">
        <v>50</v>
      </c>
      <c r="E18" s="52" t="s">
        <v>51</v>
      </c>
      <c r="F18" s="54" t="s">
        <v>16</v>
      </c>
      <c r="G18" s="55">
        <v>9</v>
      </c>
      <c r="H18" s="55">
        <v>88</v>
      </c>
      <c r="I18" s="55">
        <f>H18*G18</f>
        <v>792</v>
      </c>
      <c r="J18" s="52"/>
      <c r="K18" s="51"/>
      <c r="L18" s="60"/>
      <c r="M18" s="60"/>
      <c r="N18" s="60"/>
      <c r="O18" s="60"/>
      <c r="P18" s="61"/>
      <c r="Q18" s="61"/>
    </row>
    <row r="19" ht="60" customHeight="1" outlineLevel="1" spans="1:17">
      <c r="A19" s="12">
        <v>16</v>
      </c>
      <c r="B19" s="12" t="s">
        <v>52</v>
      </c>
      <c r="C19" s="39" t="str">
        <f>_xlfn.DISPIMG("ID_D78C664A51B64EDFA6C847991B6EC66E",1)</f>
        <v>=DISPIMG("ID_D78C664A51B64EDFA6C847991B6EC66E",1)</v>
      </c>
      <c r="D19" s="12" t="s">
        <v>23</v>
      </c>
      <c r="E19" s="12" t="s">
        <v>53</v>
      </c>
      <c r="F19" s="14" t="s">
        <v>16</v>
      </c>
      <c r="G19" s="15">
        <v>10</v>
      </c>
      <c r="H19" s="15">
        <v>88.67</v>
      </c>
      <c r="I19" s="15">
        <v>480</v>
      </c>
      <c r="J19" s="12"/>
      <c r="P19" s="28"/>
      <c r="Q19" s="28"/>
    </row>
    <row r="20" s="51" customFormat="1" ht="60" customHeight="1" outlineLevel="1" spans="1:17">
      <c r="A20" s="12">
        <v>17</v>
      </c>
      <c r="B20" s="52" t="s">
        <v>54</v>
      </c>
      <c r="C20" s="57" t="str">
        <f>_xlfn.DISPIMG("ID_5FF8325A804446FAB6718C67535AA7E5",1)</f>
        <v>=DISPIMG("ID_5FF8325A804446FAB6718C67535AA7E5",1)</v>
      </c>
      <c r="D20" s="52" t="s">
        <v>29</v>
      </c>
      <c r="E20" s="52" t="s">
        <v>55</v>
      </c>
      <c r="F20" s="54" t="s">
        <v>56</v>
      </c>
      <c r="G20" s="55">
        <v>400</v>
      </c>
      <c r="H20" s="55">
        <v>10.33</v>
      </c>
      <c r="I20" s="55">
        <f>G20*H20</f>
        <v>4132</v>
      </c>
      <c r="J20" s="52"/>
      <c r="K20" s="51"/>
      <c r="L20" s="60"/>
      <c r="M20" s="60"/>
      <c r="N20" s="60"/>
      <c r="O20" s="60"/>
      <c r="P20" s="61"/>
      <c r="Q20" s="61"/>
    </row>
    <row r="21" s="51" customFormat="1" ht="60" customHeight="1" outlineLevel="1" spans="1:17">
      <c r="A21" s="12">
        <v>18</v>
      </c>
      <c r="B21" s="52" t="s">
        <v>57</v>
      </c>
      <c r="C21" s="57" t="str">
        <f>_xlfn.DISPIMG("ID_2A47061D548C4DA7BD83B9AC57B942B6",1)</f>
        <v>=DISPIMG("ID_2A47061D548C4DA7BD83B9AC57B942B6",1)</v>
      </c>
      <c r="D21" s="52" t="s">
        <v>58</v>
      </c>
      <c r="E21" s="52" t="s">
        <v>59</v>
      </c>
      <c r="F21" s="54" t="s">
        <v>60</v>
      </c>
      <c r="G21" s="55">
        <v>100</v>
      </c>
      <c r="H21" s="55">
        <v>55</v>
      </c>
      <c r="I21" s="55">
        <f>G21*H21</f>
        <v>5500</v>
      </c>
      <c r="J21" s="52"/>
      <c r="K21" s="51"/>
      <c r="L21" s="60"/>
      <c r="M21" s="60"/>
      <c r="N21" s="60"/>
      <c r="O21" s="60"/>
      <c r="P21" s="61"/>
      <c r="Q21" s="61"/>
    </row>
    <row r="22" s="51" customFormat="1" ht="60" customHeight="1" outlineLevel="1" spans="1:17">
      <c r="A22" s="12">
        <v>19</v>
      </c>
      <c r="B22" s="52" t="s">
        <v>61</v>
      </c>
      <c r="C22" s="53" t="str">
        <f>_xlfn.DISPIMG("ID_88338D0B3C33474EB567919545FD5ECA",1)</f>
        <v>=DISPIMG("ID_88338D0B3C33474EB567919545FD5ECA",1)</v>
      </c>
      <c r="D22" s="52" t="s">
        <v>23</v>
      </c>
      <c r="E22" s="52" t="s">
        <v>53</v>
      </c>
      <c r="F22" s="54" t="s">
        <v>16</v>
      </c>
      <c r="G22" s="55">
        <v>13</v>
      </c>
      <c r="H22" s="55">
        <v>88.67</v>
      </c>
      <c r="I22" s="55">
        <f>H22*G22</f>
        <v>1152.71</v>
      </c>
      <c r="J22" s="52"/>
      <c r="K22" s="51"/>
      <c r="L22" s="60"/>
      <c r="M22" s="60"/>
      <c r="N22" s="60"/>
      <c r="O22" s="60"/>
      <c r="P22" s="61"/>
      <c r="Q22" s="61"/>
    </row>
    <row r="23" ht="60" customHeight="1" outlineLevel="1" spans="1:17">
      <c r="A23" s="12">
        <v>20</v>
      </c>
      <c r="B23" s="12" t="s">
        <v>62</v>
      </c>
      <c r="C23" s="39" t="str">
        <f>_xlfn.DISPIMG("ID_E6DD2E9C98534706BA2EE55C22C2ECB7",1)</f>
        <v>=DISPIMG("ID_E6DD2E9C98534706BA2EE55C22C2ECB7",1)</v>
      </c>
      <c r="D23" s="12" t="s">
        <v>23</v>
      </c>
      <c r="E23" s="12" t="s">
        <v>63</v>
      </c>
      <c r="F23" s="14" t="s">
        <v>64</v>
      </c>
      <c r="G23" s="15">
        <v>2.88</v>
      </c>
      <c r="H23" s="15">
        <v>233</v>
      </c>
      <c r="I23" s="15">
        <f>H23*G23</f>
        <v>671.04</v>
      </c>
      <c r="J23" s="12"/>
      <c r="P23" s="28"/>
      <c r="Q23" s="28"/>
    </row>
    <row r="24" ht="60" customHeight="1" outlineLevel="1" spans="1:17">
      <c r="A24" s="12">
        <v>21</v>
      </c>
      <c r="B24" s="12" t="s">
        <v>65</v>
      </c>
      <c r="C24" s="39"/>
      <c r="D24" s="12" t="s">
        <v>66</v>
      </c>
      <c r="E24" s="12" t="s">
        <v>67</v>
      </c>
      <c r="F24" s="14" t="s">
        <v>56</v>
      </c>
      <c r="G24" s="15">
        <v>24</v>
      </c>
      <c r="H24" s="15">
        <v>20.33</v>
      </c>
      <c r="I24" s="15">
        <f>H24*G24</f>
        <v>487.92</v>
      </c>
      <c r="J24" s="12"/>
      <c r="P24" s="28"/>
      <c r="Q24" s="28"/>
    </row>
    <row r="25" s="51" customFormat="1" ht="60" customHeight="1" outlineLevel="1" spans="1:17">
      <c r="A25" s="12">
        <v>22</v>
      </c>
      <c r="B25" s="52" t="s">
        <v>68</v>
      </c>
      <c r="C25" s="57" t="str">
        <f>_xlfn.DISPIMG("ID_8D98838CCB7C44698F2D63DBC07E5E28",1)</f>
        <v>=DISPIMG("ID_8D98838CCB7C44698F2D63DBC07E5E28",1)</v>
      </c>
      <c r="D25" s="52" t="s">
        <v>69</v>
      </c>
      <c r="E25" s="52" t="s">
        <v>70</v>
      </c>
      <c r="F25" s="54" t="s">
        <v>16</v>
      </c>
      <c r="G25" s="55">
        <v>1</v>
      </c>
      <c r="H25" s="55">
        <v>20.33</v>
      </c>
      <c r="I25" s="55">
        <v>20.33</v>
      </c>
      <c r="J25" s="52"/>
      <c r="K25" s="51"/>
      <c r="L25" s="60"/>
      <c r="M25" s="60"/>
      <c r="N25" s="60"/>
      <c r="O25" s="60"/>
      <c r="P25" s="61"/>
      <c r="Q25" s="61"/>
    </row>
    <row r="26" ht="60" customHeight="1" outlineLevel="1" spans="1:17">
      <c r="A26" s="12">
        <v>23</v>
      </c>
      <c r="B26" s="12" t="s">
        <v>71</v>
      </c>
      <c r="C26" s="39" t="str">
        <f>_xlfn.DISPIMG("ID_97C7EBCB92974F8FBF4E948FF0D6E204",1)</f>
        <v>=DISPIMG("ID_97C7EBCB92974F8FBF4E948FF0D6E204",1)</v>
      </c>
      <c r="D26" s="12" t="s">
        <v>58</v>
      </c>
      <c r="E26" s="12" t="s">
        <v>72</v>
      </c>
      <c r="F26" s="14" t="s">
        <v>56</v>
      </c>
      <c r="G26" s="15">
        <v>200</v>
      </c>
      <c r="H26" s="15">
        <v>30</v>
      </c>
      <c r="I26" s="15">
        <f>H26*G26</f>
        <v>6000</v>
      </c>
      <c r="J26" s="12"/>
      <c r="P26" s="28"/>
      <c r="Q26" s="28"/>
    </row>
    <row r="27" ht="60" customHeight="1" outlineLevel="1" spans="1:17">
      <c r="A27" s="12">
        <v>24</v>
      </c>
      <c r="B27" s="12" t="s">
        <v>73</v>
      </c>
      <c r="C27" s="12"/>
      <c r="D27" s="12" t="s">
        <v>74</v>
      </c>
      <c r="E27" s="12" t="s">
        <v>75</v>
      </c>
      <c r="F27" s="14" t="s">
        <v>56</v>
      </c>
      <c r="G27" s="15">
        <v>1</v>
      </c>
      <c r="H27" s="15">
        <v>166</v>
      </c>
      <c r="I27" s="15">
        <v>166</v>
      </c>
      <c r="J27" s="12"/>
      <c r="P27" s="28"/>
      <c r="Q27" s="28"/>
    </row>
    <row r="28" ht="60" customHeight="1" outlineLevel="1" spans="1:17">
      <c r="A28" s="12">
        <v>25</v>
      </c>
      <c r="B28" s="12" t="s">
        <v>76</v>
      </c>
      <c r="C28" s="39" t="str">
        <f>_xlfn.DISPIMG("ID_B2AD3605551840B49D133A82291CEA14",1)</f>
        <v>=DISPIMG("ID_B2AD3605551840B49D133A82291CEA14",1)</v>
      </c>
      <c r="D28" s="12" t="s">
        <v>23</v>
      </c>
      <c r="E28" s="12" t="s">
        <v>53</v>
      </c>
      <c r="F28" s="14" t="s">
        <v>16</v>
      </c>
      <c r="G28" s="15">
        <v>1</v>
      </c>
      <c r="H28" s="15">
        <v>92.67</v>
      </c>
      <c r="I28" s="15">
        <v>92.67</v>
      </c>
      <c r="J28" s="12"/>
      <c r="P28" s="28"/>
      <c r="Q28" s="28"/>
    </row>
    <row r="29" ht="60" customHeight="1" outlineLevel="1" spans="1:17">
      <c r="A29" s="12">
        <v>26</v>
      </c>
      <c r="B29" s="12" t="s">
        <v>77</v>
      </c>
      <c r="C29" s="39" t="str">
        <f>_xlfn.DISPIMG("ID_848CA32CA8824369903FFF2D852748FB",1)</f>
        <v>=DISPIMG("ID_848CA32CA8824369903FFF2D852748FB",1)</v>
      </c>
      <c r="D29" s="12" t="s">
        <v>78</v>
      </c>
      <c r="E29" s="12" t="s">
        <v>79</v>
      </c>
      <c r="F29" s="14" t="s">
        <v>16</v>
      </c>
      <c r="G29" s="15">
        <v>1</v>
      </c>
      <c r="H29" s="15">
        <v>166</v>
      </c>
      <c r="I29" s="15">
        <v>166</v>
      </c>
      <c r="J29" s="12" t="s">
        <v>80</v>
      </c>
      <c r="P29" s="28"/>
      <c r="Q29" s="28"/>
    </row>
    <row r="30" ht="60" customHeight="1" outlineLevel="1" spans="1:17">
      <c r="A30" s="12">
        <v>27</v>
      </c>
      <c r="B30" s="12" t="s">
        <v>81</v>
      </c>
      <c r="C30" s="39" t="str">
        <f>_xlfn.DISPIMG("ID_2CE962548BB1481EBA8AB0D37A5D8A2A",1)</f>
        <v>=DISPIMG("ID_2CE962548BB1481EBA8AB0D37A5D8A2A",1)</v>
      </c>
      <c r="D30" s="12" t="s">
        <v>82</v>
      </c>
      <c r="E30" s="12" t="s">
        <v>83</v>
      </c>
      <c r="F30" s="14" t="s">
        <v>56</v>
      </c>
      <c r="G30" s="15">
        <v>1</v>
      </c>
      <c r="H30" s="15">
        <v>11907</v>
      </c>
      <c r="I30" s="15">
        <f>H30*G30</f>
        <v>11907</v>
      </c>
      <c r="J30" s="12" t="s">
        <v>84</v>
      </c>
      <c r="P30" s="28"/>
      <c r="Q30" s="28"/>
    </row>
    <row r="31" s="2" customFormat="1" ht="60" customHeight="1" outlineLevel="1" spans="1:17">
      <c r="A31" s="12">
        <v>28</v>
      </c>
      <c r="B31" s="12" t="s">
        <v>85</v>
      </c>
      <c r="C31" s="12"/>
      <c r="D31" s="12" t="s">
        <v>86</v>
      </c>
      <c r="E31" s="12" t="s">
        <v>87</v>
      </c>
      <c r="F31" s="14" t="s">
        <v>88</v>
      </c>
      <c r="G31" s="15">
        <v>1</v>
      </c>
      <c r="H31" s="58">
        <v>4200</v>
      </c>
      <c r="I31" s="15">
        <v>4200</v>
      </c>
      <c r="J31" s="15"/>
      <c r="K31" s="47"/>
      <c r="L31" s="47"/>
      <c r="M31" s="48"/>
      <c r="N31" s="48"/>
      <c r="O31" s="48"/>
      <c r="P31" s="28"/>
      <c r="Q31" s="28"/>
    </row>
    <row r="32" ht="60" customHeight="1" outlineLevel="1" spans="1:17">
      <c r="A32" s="12">
        <v>29</v>
      </c>
      <c r="B32" s="12" t="s">
        <v>89</v>
      </c>
      <c r="C32" s="12"/>
      <c r="D32" s="12" t="s">
        <v>90</v>
      </c>
      <c r="E32" s="12" t="s">
        <v>91</v>
      </c>
      <c r="F32" s="59" t="s">
        <v>92</v>
      </c>
      <c r="G32" s="15">
        <v>5</v>
      </c>
      <c r="H32" s="58">
        <v>380</v>
      </c>
      <c r="I32" s="15">
        <v>1900</v>
      </c>
      <c r="J32" s="15"/>
      <c r="K32" s="47"/>
      <c r="L32" s="47"/>
      <c r="M32" s="48"/>
      <c r="N32" s="48"/>
      <c r="O32" s="48"/>
      <c r="P32" s="28"/>
      <c r="Q32" s="28"/>
    </row>
    <row r="33" ht="60" customHeight="1" outlineLevel="1" spans="1:17">
      <c r="A33" s="12">
        <v>30</v>
      </c>
      <c r="B33" s="12" t="s">
        <v>93</v>
      </c>
      <c r="C33" s="12"/>
      <c r="D33" s="12" t="s">
        <v>94</v>
      </c>
      <c r="E33" s="12" t="s">
        <v>91</v>
      </c>
      <c r="F33" s="14" t="s">
        <v>95</v>
      </c>
      <c r="G33" s="15">
        <v>5</v>
      </c>
      <c r="H33" s="58">
        <v>380</v>
      </c>
      <c r="I33" s="15">
        <v>1900</v>
      </c>
      <c r="J33" s="15"/>
      <c r="K33" s="47"/>
      <c r="L33" s="47"/>
      <c r="M33" s="48"/>
      <c r="N33" s="48"/>
      <c r="O33" s="48"/>
      <c r="P33" s="28"/>
      <c r="Q33" s="28"/>
    </row>
    <row r="34" ht="60" customHeight="1" outlineLevel="1" spans="1:17">
      <c r="A34" s="12">
        <v>46</v>
      </c>
      <c r="B34" s="12"/>
      <c r="C34" s="12"/>
      <c r="D34" s="12"/>
      <c r="E34" s="12"/>
      <c r="F34" s="12"/>
      <c r="G34" s="12"/>
      <c r="H34" s="12"/>
      <c r="I34" s="15">
        <f>SUM(I4:I33)</f>
        <v>62809.61</v>
      </c>
      <c r="J34" s="15"/>
      <c r="K34" s="47"/>
      <c r="L34" s="47"/>
      <c r="M34" s="47"/>
      <c r="N34" s="47"/>
      <c r="O34" s="47"/>
      <c r="P34" s="28"/>
      <c r="Q34" s="28"/>
    </row>
    <row r="35" ht="60" customHeight="1" spans="1:1">
      <c r="A35" s="2" t="s">
        <v>96</v>
      </c>
    </row>
    <row r="36" ht="80" customHeight="1"/>
    <row r="37" ht="8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row r="94" ht="20" customHeight="1"/>
    <row r="95" ht="20" customHeight="1"/>
    <row r="96"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row r="116" ht="20" customHeight="1"/>
    <row r="117" ht="20" customHeight="1"/>
    <row r="118" ht="20" customHeight="1"/>
    <row r="119" ht="20" customHeight="1"/>
    <row r="120" ht="20" customHeight="1"/>
  </sheetData>
  <autoFilter xmlns:etc="http://www.wps.cn/officeDocument/2017/etCustomData" ref="A1:M35" etc:filterBottomFollowUsedRange="0">
    <extLst/>
  </autoFilter>
  <mergeCells count="9">
    <mergeCell ref="A1:J1"/>
    <mergeCell ref="B3:E3"/>
    <mergeCell ref="B34:H34"/>
    <mergeCell ref="A35:J35"/>
    <mergeCell ref="C23:C24"/>
    <mergeCell ref="K16:K17"/>
    <mergeCell ref="M31:M33"/>
    <mergeCell ref="N31:N33"/>
    <mergeCell ref="O31:O33"/>
  </mergeCells>
  <pageMargins left="0.7" right="0.393055555555556" top="0.75" bottom="0.75" header="0.3" footer="0.3"/>
  <pageSetup paperSize="9" scale="74" orientation="landscape"/>
  <headerFooter/>
  <colBreaks count="1" manualBreakCount="1">
    <brk id="10" max="1048575" man="1"/>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6"/>
  <sheetViews>
    <sheetView view="pageBreakPreview" zoomScale="70" zoomScaleNormal="70" workbookViewId="0">
      <pane ySplit="1" topLeftCell="A2" activePane="bottomLeft" state="frozen"/>
      <selection/>
      <selection pane="bottomLeft" activeCell="A1" sqref="$A1:$XFD1048576"/>
    </sheetView>
  </sheetViews>
  <sheetFormatPr defaultColWidth="9" defaultRowHeight="12"/>
  <cols>
    <col min="1" max="1" width="7.44166666666667" style="2" customWidth="1"/>
    <col min="2" max="2" width="13.9666666666667" style="2" customWidth="1"/>
    <col min="3" max="3" width="21.3083333333333" style="2" customWidth="1"/>
    <col min="4" max="4" width="66.525" style="2" customWidth="1"/>
    <col min="5" max="5" width="17.775" style="2" customWidth="1"/>
    <col min="6" max="6" width="6.775" style="2" customWidth="1"/>
    <col min="7" max="11" width="12.775" style="2" customWidth="1"/>
    <col min="12" max="12" width="17.6166666666667" style="5" customWidth="1"/>
    <col min="13" max="14" width="9.66666666666667" style="5"/>
    <col min="15" max="16" width="12.6333333333333" style="5"/>
    <col min="17" max="16384" width="9" style="2"/>
  </cols>
  <sheetData>
    <row r="1" ht="69" customHeight="1" spans="1:11">
      <c r="A1" s="6" t="s">
        <v>97</v>
      </c>
      <c r="B1" s="6"/>
      <c r="C1" s="6"/>
      <c r="D1" s="6"/>
      <c r="E1" s="6"/>
      <c r="F1" s="6"/>
      <c r="G1" s="6"/>
      <c r="H1" s="6"/>
      <c r="I1" s="6"/>
      <c r="J1" s="6"/>
      <c r="K1" s="25"/>
    </row>
    <row r="2" s="1" customFormat="1" ht="61" customHeight="1" spans="1:16">
      <c r="A2" s="7" t="s">
        <v>1</v>
      </c>
      <c r="B2" s="7" t="s">
        <v>2</v>
      </c>
      <c r="C2" s="7" t="s">
        <v>3</v>
      </c>
      <c r="D2" s="7" t="s">
        <v>4</v>
      </c>
      <c r="E2" s="7" t="s">
        <v>5</v>
      </c>
      <c r="F2" s="8" t="s">
        <v>6</v>
      </c>
      <c r="G2" s="8" t="s">
        <v>7</v>
      </c>
      <c r="H2" s="8" t="s">
        <v>98</v>
      </c>
      <c r="I2" s="8" t="s">
        <v>99</v>
      </c>
      <c r="J2" s="26" t="s">
        <v>10</v>
      </c>
      <c r="L2" s="27"/>
      <c r="M2" s="27"/>
      <c r="N2" s="27"/>
      <c r="O2" s="27"/>
      <c r="P2" s="27"/>
    </row>
    <row r="3" s="1" customFormat="1" ht="32" customHeight="1" spans="1:16">
      <c r="A3" s="8" t="s">
        <v>9</v>
      </c>
      <c r="B3" s="8"/>
      <c r="C3" s="8"/>
      <c r="D3" s="8"/>
      <c r="E3" s="8"/>
      <c r="F3" s="9"/>
      <c r="G3" s="10"/>
      <c r="H3" s="10"/>
      <c r="I3" s="9">
        <f>I4+I59+I63+I127+I135+I140+I165+I192+I200+I204+I228+I232+I235</f>
        <v>3007891.77</v>
      </c>
      <c r="J3" s="26"/>
      <c r="L3" s="27"/>
      <c r="M3" s="27"/>
      <c r="N3" s="27"/>
      <c r="O3" s="27"/>
      <c r="P3" s="27"/>
    </row>
    <row r="4" s="1" customFormat="1" ht="43" customHeight="1" spans="1:16">
      <c r="A4" s="8" t="s">
        <v>100</v>
      </c>
      <c r="B4" s="8" t="s">
        <v>101</v>
      </c>
      <c r="C4" s="8"/>
      <c r="D4" s="8"/>
      <c r="E4" s="8"/>
      <c r="F4" s="11"/>
      <c r="G4" s="10"/>
      <c r="H4" s="10"/>
      <c r="I4" s="10">
        <f>SUM(I5:I58)</f>
        <v>1459089.18</v>
      </c>
      <c r="J4" s="26"/>
      <c r="L4" s="27"/>
      <c r="M4" s="27"/>
      <c r="N4" s="27"/>
      <c r="O4" s="27"/>
      <c r="P4" s="27"/>
    </row>
    <row r="5" s="2" customFormat="1" ht="226" customHeight="1" outlineLevel="1" spans="1:16">
      <c r="A5" s="12">
        <v>1</v>
      </c>
      <c r="B5" s="12" t="s">
        <v>102</v>
      </c>
      <c r="C5" s="12" t="str">
        <f>_xlfn.DISPIMG("ID_F748EB1B90E84DF884E3394EECB5868D",1)</f>
        <v>=DISPIMG("ID_F748EB1B90E84DF884E3394EECB5868D",1)</v>
      </c>
      <c r="D5" s="13" t="s">
        <v>103</v>
      </c>
      <c r="E5" s="12" t="s">
        <v>104</v>
      </c>
      <c r="F5" s="14" t="s">
        <v>105</v>
      </c>
      <c r="G5" s="15">
        <v>200</v>
      </c>
      <c r="H5" s="15">
        <f t="shared" ref="H5:H58" si="0">O5</f>
        <v>2373.33</v>
      </c>
      <c r="I5" s="15">
        <f t="shared" ref="I5:I58" si="1">ROUND(G5*H5,2)</f>
        <v>474666</v>
      </c>
      <c r="J5" s="12"/>
      <c r="L5" s="5">
        <v>2590</v>
      </c>
      <c r="M5" s="5">
        <v>2350</v>
      </c>
      <c r="N5" s="5">
        <v>2180</v>
      </c>
      <c r="O5" s="28">
        <f t="shared" ref="O5:O58" si="2">ROUND((L5+M5+N5)/3,2)</f>
        <v>2373.33</v>
      </c>
      <c r="P5" s="28" t="e">
        <f>#REF!*O5</f>
        <v>#REF!</v>
      </c>
    </row>
    <row r="6" s="2" customFormat="1" ht="100" customHeight="1" outlineLevel="1" spans="1:16">
      <c r="A6" s="12">
        <v>2</v>
      </c>
      <c r="B6" s="12" t="s">
        <v>106</v>
      </c>
      <c r="C6" s="12" t="str">
        <f>_xlfn.DISPIMG("ID_96079F49E8604A2CBF7830AEAB15517D",1)</f>
        <v>=DISPIMG("ID_96079F49E8604A2CBF7830AEAB15517D",1)</v>
      </c>
      <c r="D6" s="13" t="s">
        <v>107</v>
      </c>
      <c r="E6" s="12" t="s">
        <v>108</v>
      </c>
      <c r="F6" s="14" t="s">
        <v>105</v>
      </c>
      <c r="G6" s="15">
        <v>200</v>
      </c>
      <c r="H6" s="15">
        <f t="shared" si="0"/>
        <v>191</v>
      </c>
      <c r="I6" s="15">
        <f t="shared" si="1"/>
        <v>38200</v>
      </c>
      <c r="J6" s="12"/>
      <c r="L6" s="5">
        <v>195</v>
      </c>
      <c r="M6" s="5">
        <v>188</v>
      </c>
      <c r="N6" s="5">
        <v>190</v>
      </c>
      <c r="O6" s="28">
        <f t="shared" si="2"/>
        <v>191</v>
      </c>
      <c r="P6" s="28" t="e">
        <f>#REF!*O6</f>
        <v>#REF!</v>
      </c>
    </row>
    <row r="7" s="2" customFormat="1" ht="205" customHeight="1" outlineLevel="1" spans="1:16">
      <c r="A7" s="12">
        <v>3</v>
      </c>
      <c r="B7" s="12" t="s">
        <v>109</v>
      </c>
      <c r="C7" s="12" t="str">
        <f>_xlfn.DISPIMG("ID_3D6678ED751D4475BDF767573B875912",1)</f>
        <v>=DISPIMG("ID_3D6678ED751D4475BDF767573B875912",1)</v>
      </c>
      <c r="D7" s="13" t="s">
        <v>110</v>
      </c>
      <c r="E7" s="12" t="s">
        <v>111</v>
      </c>
      <c r="F7" s="14" t="s">
        <v>56</v>
      </c>
      <c r="G7" s="15">
        <v>200</v>
      </c>
      <c r="H7" s="15">
        <f t="shared" si="0"/>
        <v>251.67</v>
      </c>
      <c r="I7" s="15">
        <f t="shared" si="1"/>
        <v>50334</v>
      </c>
      <c r="J7" s="12"/>
      <c r="L7" s="5">
        <v>250</v>
      </c>
      <c r="M7" s="5">
        <v>260</v>
      </c>
      <c r="N7" s="5">
        <v>245</v>
      </c>
      <c r="O7" s="28">
        <f t="shared" si="2"/>
        <v>251.67</v>
      </c>
      <c r="P7" s="28" t="e">
        <f>#REF!*O7</f>
        <v>#REF!</v>
      </c>
    </row>
    <row r="8" ht="207" customHeight="1" outlineLevel="1" spans="1:16">
      <c r="A8" s="12">
        <v>4</v>
      </c>
      <c r="B8" s="12" t="s">
        <v>112</v>
      </c>
      <c r="C8" s="12" t="str">
        <f>_xlfn.DISPIMG("ID_1F8D656D416B4989833EE3338396E530",1)</f>
        <v>=DISPIMG("ID_1F8D656D416B4989833EE3338396E530",1)</v>
      </c>
      <c r="D8" s="13" t="s">
        <v>110</v>
      </c>
      <c r="E8" s="12" t="s">
        <v>113</v>
      </c>
      <c r="F8" s="14" t="s">
        <v>60</v>
      </c>
      <c r="G8" s="15">
        <v>100</v>
      </c>
      <c r="H8" s="15">
        <f t="shared" si="0"/>
        <v>3893.33</v>
      </c>
      <c r="I8" s="15">
        <f t="shared" si="1"/>
        <v>389333</v>
      </c>
      <c r="J8" s="12"/>
      <c r="L8" s="5">
        <v>4000</v>
      </c>
      <c r="M8" s="5">
        <v>3780</v>
      </c>
      <c r="N8" s="5">
        <v>3900</v>
      </c>
      <c r="O8" s="28">
        <f t="shared" si="2"/>
        <v>3893.33</v>
      </c>
      <c r="P8" s="28" t="e">
        <f>#REF!*O8</f>
        <v>#REF!</v>
      </c>
    </row>
    <row r="9" s="2" customFormat="1" ht="205" customHeight="1" outlineLevel="1" spans="1:16">
      <c r="A9" s="12">
        <v>5</v>
      </c>
      <c r="B9" s="12" t="s">
        <v>114</v>
      </c>
      <c r="C9" s="12" t="str">
        <f>_xlfn.DISPIMG("ID_B9EF0188D48449B983D07F6F89BE53F9",1)</f>
        <v>=DISPIMG("ID_B9EF0188D48449B983D07F6F89BE53F9",1)</v>
      </c>
      <c r="D9" s="13" t="s">
        <v>115</v>
      </c>
      <c r="E9" s="12" t="s">
        <v>108</v>
      </c>
      <c r="F9" s="14" t="s">
        <v>116</v>
      </c>
      <c r="G9" s="15">
        <v>200</v>
      </c>
      <c r="H9" s="15">
        <f t="shared" si="0"/>
        <v>381.33</v>
      </c>
      <c r="I9" s="15">
        <f t="shared" si="1"/>
        <v>76266</v>
      </c>
      <c r="J9" s="12"/>
      <c r="L9" s="5">
        <v>408</v>
      </c>
      <c r="M9" s="5">
        <v>360</v>
      </c>
      <c r="N9" s="5">
        <v>376</v>
      </c>
      <c r="O9" s="28">
        <f t="shared" si="2"/>
        <v>381.33</v>
      </c>
      <c r="P9" s="28" t="e">
        <f>#REF!*O9</f>
        <v>#REF!</v>
      </c>
    </row>
    <row r="10" s="2" customFormat="1" ht="202" customHeight="1" outlineLevel="1" spans="1:16">
      <c r="A10" s="12">
        <v>6</v>
      </c>
      <c r="B10" s="12" t="s">
        <v>117</v>
      </c>
      <c r="C10" s="12" t="str">
        <f>_xlfn.DISPIMG("ID_367E4419FEDE43FDB35353EF0202D930",1)</f>
        <v>=DISPIMG("ID_367E4419FEDE43FDB35353EF0202D930",1)</v>
      </c>
      <c r="D10" s="16" t="s">
        <v>118</v>
      </c>
      <c r="E10" s="12" t="s">
        <v>119</v>
      </c>
      <c r="F10" s="14" t="s">
        <v>56</v>
      </c>
      <c r="G10" s="15">
        <v>1</v>
      </c>
      <c r="H10" s="15">
        <f t="shared" si="0"/>
        <v>9300</v>
      </c>
      <c r="I10" s="15">
        <f t="shared" si="1"/>
        <v>9300</v>
      </c>
      <c r="J10" s="12"/>
      <c r="L10" s="5">
        <v>10500</v>
      </c>
      <c r="M10" s="5">
        <v>7500</v>
      </c>
      <c r="N10" s="5">
        <v>9900</v>
      </c>
      <c r="O10" s="28">
        <f t="shared" si="2"/>
        <v>9300</v>
      </c>
      <c r="P10" s="28" t="e">
        <f>#REF!*O10</f>
        <v>#REF!</v>
      </c>
    </row>
    <row r="11" s="2" customFormat="1" ht="234" customHeight="1" outlineLevel="1" spans="1:16">
      <c r="A11" s="12">
        <v>7</v>
      </c>
      <c r="B11" s="12" t="s">
        <v>120</v>
      </c>
      <c r="C11" s="12" t="str">
        <f>_xlfn.DISPIMG("ID_E89C205870844BC7B346407FF903E59E",1)</f>
        <v>=DISPIMG("ID_E89C205870844BC7B346407FF903E59E",1)</v>
      </c>
      <c r="D11" s="17" t="s">
        <v>121</v>
      </c>
      <c r="E11" s="12" t="s">
        <v>108</v>
      </c>
      <c r="F11" s="14" t="s">
        <v>116</v>
      </c>
      <c r="G11" s="15">
        <v>1</v>
      </c>
      <c r="H11" s="15">
        <f t="shared" si="0"/>
        <v>248</v>
      </c>
      <c r="I11" s="15">
        <f t="shared" si="1"/>
        <v>248</v>
      </c>
      <c r="J11" s="12"/>
      <c r="L11" s="5">
        <v>238</v>
      </c>
      <c r="M11" s="5">
        <v>288</v>
      </c>
      <c r="N11" s="5">
        <v>218</v>
      </c>
      <c r="O11" s="28">
        <f t="shared" si="2"/>
        <v>248</v>
      </c>
      <c r="P11" s="28" t="e">
        <f>#REF!*O11</f>
        <v>#REF!</v>
      </c>
    </row>
    <row r="12" s="2" customFormat="1" ht="120" customHeight="1" outlineLevel="1" spans="1:16">
      <c r="A12" s="12">
        <v>8</v>
      </c>
      <c r="B12" s="12" t="s">
        <v>122</v>
      </c>
      <c r="C12" s="12" t="str">
        <f>_xlfn.DISPIMG("ID_4A3953294A4E4C7594E3C4CA940F7C55",1)</f>
        <v>=DISPIMG("ID_4A3953294A4E4C7594E3C4CA940F7C55",1)</v>
      </c>
      <c r="D12" s="13" t="s">
        <v>123</v>
      </c>
      <c r="E12" s="12" t="s">
        <v>108</v>
      </c>
      <c r="F12" s="14" t="s">
        <v>56</v>
      </c>
      <c r="G12" s="15">
        <v>8</v>
      </c>
      <c r="H12" s="15">
        <f t="shared" si="0"/>
        <v>734.33</v>
      </c>
      <c r="I12" s="15">
        <f t="shared" si="1"/>
        <v>5874.64</v>
      </c>
      <c r="J12" s="12"/>
      <c r="L12" s="5">
        <v>818</v>
      </c>
      <c r="M12" s="5">
        <v>786</v>
      </c>
      <c r="N12" s="5">
        <v>599</v>
      </c>
      <c r="O12" s="28">
        <f t="shared" si="2"/>
        <v>734.33</v>
      </c>
      <c r="P12" s="28" t="e">
        <f>#REF!*O12</f>
        <v>#REF!</v>
      </c>
    </row>
    <row r="13" s="2" customFormat="1" ht="225" customHeight="1" outlineLevel="1" spans="1:16">
      <c r="A13" s="12">
        <v>9</v>
      </c>
      <c r="B13" s="12" t="s">
        <v>124</v>
      </c>
      <c r="C13" s="12" t="str">
        <f>_xlfn.DISPIMG("ID_13B2B2823CEE40BA9FABBB63296C8D2C",1)</f>
        <v>=DISPIMG("ID_13B2B2823CEE40BA9FABBB63296C8D2C",1)</v>
      </c>
      <c r="D13" s="13" t="s">
        <v>125</v>
      </c>
      <c r="E13" s="12" t="s">
        <v>126</v>
      </c>
      <c r="F13" s="14" t="s">
        <v>116</v>
      </c>
      <c r="G13" s="15">
        <v>16</v>
      </c>
      <c r="H13" s="15">
        <f t="shared" si="0"/>
        <v>929.33</v>
      </c>
      <c r="I13" s="15">
        <f t="shared" si="1"/>
        <v>14869.28</v>
      </c>
      <c r="J13" s="12"/>
      <c r="L13" s="5">
        <v>858</v>
      </c>
      <c r="M13" s="5">
        <v>950</v>
      </c>
      <c r="N13" s="5">
        <v>980</v>
      </c>
      <c r="O13" s="28">
        <f t="shared" si="2"/>
        <v>929.33</v>
      </c>
      <c r="P13" s="28" t="e">
        <f>#REF!*O13</f>
        <v>#REF!</v>
      </c>
    </row>
    <row r="14" s="2" customFormat="1" ht="207" customHeight="1" outlineLevel="1" spans="1:16">
      <c r="A14" s="12">
        <v>10</v>
      </c>
      <c r="B14" s="12" t="s">
        <v>127</v>
      </c>
      <c r="C14" s="12" t="str">
        <f>_xlfn.DISPIMG("ID_CF4C9EC069114451B3163C6EC3286C25",1)</f>
        <v>=DISPIMG("ID_CF4C9EC069114451B3163C6EC3286C25",1)</v>
      </c>
      <c r="D14" s="13" t="s">
        <v>128</v>
      </c>
      <c r="E14" s="12" t="s">
        <v>129</v>
      </c>
      <c r="F14" s="14" t="s">
        <v>56</v>
      </c>
      <c r="G14" s="15">
        <v>1</v>
      </c>
      <c r="H14" s="15">
        <f t="shared" si="0"/>
        <v>730.33</v>
      </c>
      <c r="I14" s="15">
        <f t="shared" si="1"/>
        <v>730.33</v>
      </c>
      <c r="J14" s="12"/>
      <c r="L14" s="5">
        <v>725</v>
      </c>
      <c r="M14" s="5">
        <v>878</v>
      </c>
      <c r="N14" s="5">
        <v>588</v>
      </c>
      <c r="O14" s="28">
        <f t="shared" si="2"/>
        <v>730.33</v>
      </c>
      <c r="P14" s="28" t="e">
        <f>#REF!*O14</f>
        <v>#REF!</v>
      </c>
    </row>
    <row r="15" s="2" customFormat="1" ht="231" customHeight="1" outlineLevel="1" spans="1:16">
      <c r="A15" s="12">
        <v>11</v>
      </c>
      <c r="B15" s="12" t="s">
        <v>130</v>
      </c>
      <c r="C15" s="12" t="str">
        <f>_xlfn.DISPIMG("ID_5A16553EBA4C4046AB63A50237374D1D",1)</f>
        <v>=DISPIMG("ID_5A16553EBA4C4046AB63A50237374D1D",1)</v>
      </c>
      <c r="D15" s="17" t="s">
        <v>121</v>
      </c>
      <c r="E15" s="12" t="s">
        <v>108</v>
      </c>
      <c r="F15" s="14" t="s">
        <v>116</v>
      </c>
      <c r="G15" s="15">
        <v>1</v>
      </c>
      <c r="H15" s="15">
        <f t="shared" si="0"/>
        <v>248</v>
      </c>
      <c r="I15" s="15">
        <f t="shared" si="1"/>
        <v>248</v>
      </c>
      <c r="J15" s="12"/>
      <c r="L15" s="5">
        <v>238</v>
      </c>
      <c r="M15" s="5">
        <v>288</v>
      </c>
      <c r="N15" s="5">
        <v>218</v>
      </c>
      <c r="O15" s="28">
        <f t="shared" si="2"/>
        <v>248</v>
      </c>
      <c r="P15" s="28" t="e">
        <f>#REF!*O15</f>
        <v>#REF!</v>
      </c>
    </row>
    <row r="16" ht="229" customHeight="1" outlineLevel="1" spans="1:16">
      <c r="A16" s="12">
        <v>12</v>
      </c>
      <c r="B16" s="12" t="s">
        <v>131</v>
      </c>
      <c r="C16" s="12" t="str">
        <f>_xlfn.DISPIMG("ID_A9B44FFB41DE478981280F387056E7E6",1)</f>
        <v>=DISPIMG("ID_A9B44FFB41DE478981280F387056E7E6",1)</v>
      </c>
      <c r="D16" s="13" t="s">
        <v>132</v>
      </c>
      <c r="E16" s="12" t="s">
        <v>133</v>
      </c>
      <c r="F16" s="14" t="s">
        <v>105</v>
      </c>
      <c r="G16" s="15">
        <v>1</v>
      </c>
      <c r="H16" s="15">
        <f t="shared" si="0"/>
        <v>823.33</v>
      </c>
      <c r="I16" s="15">
        <f t="shared" si="1"/>
        <v>823.33</v>
      </c>
      <c r="J16" s="12"/>
      <c r="L16" s="5">
        <v>820</v>
      </c>
      <c r="M16" s="5">
        <v>850</v>
      </c>
      <c r="N16" s="5">
        <v>800</v>
      </c>
      <c r="O16" s="28">
        <f t="shared" si="2"/>
        <v>823.33</v>
      </c>
      <c r="P16" s="28" t="e">
        <f>#REF!*O16</f>
        <v>#REF!</v>
      </c>
    </row>
    <row r="17" s="2" customFormat="1" ht="120" customHeight="1" outlineLevel="1" spans="1:16">
      <c r="A17" s="12">
        <v>13</v>
      </c>
      <c r="B17" s="12" t="s">
        <v>106</v>
      </c>
      <c r="C17" s="12" t="str">
        <f>_xlfn.DISPIMG("ID_0087FE873C48427B8847E8D8D5D2E2F0",1)</f>
        <v>=DISPIMG("ID_0087FE873C48427B8847E8D8D5D2E2F0",1)</v>
      </c>
      <c r="D17" s="13" t="s">
        <v>134</v>
      </c>
      <c r="E17" s="12" t="s">
        <v>108</v>
      </c>
      <c r="F17" s="14" t="s">
        <v>105</v>
      </c>
      <c r="G17" s="15">
        <v>1</v>
      </c>
      <c r="H17" s="15">
        <f t="shared" si="0"/>
        <v>191</v>
      </c>
      <c r="I17" s="15">
        <f t="shared" si="1"/>
        <v>191</v>
      </c>
      <c r="J17" s="12"/>
      <c r="L17" s="5">
        <v>195</v>
      </c>
      <c r="M17" s="5">
        <v>188</v>
      </c>
      <c r="N17" s="5">
        <v>190</v>
      </c>
      <c r="O17" s="28">
        <f t="shared" si="2"/>
        <v>191</v>
      </c>
      <c r="P17" s="28" t="e">
        <f>#REF!*O17</f>
        <v>#REF!</v>
      </c>
    </row>
    <row r="18" s="2" customFormat="1" ht="152" customHeight="1" outlineLevel="1" spans="1:16">
      <c r="A18" s="12">
        <v>14</v>
      </c>
      <c r="B18" s="12" t="s">
        <v>135</v>
      </c>
      <c r="C18" s="12" t="str">
        <f>_xlfn.DISPIMG("ID_5461C44476FD43029538D03D59F1CFC1",1)</f>
        <v>=DISPIMG("ID_5461C44476FD43029538D03D59F1CFC1",1)</v>
      </c>
      <c r="D18" s="13" t="s">
        <v>136</v>
      </c>
      <c r="E18" s="12" t="s">
        <v>137</v>
      </c>
      <c r="F18" s="14" t="s">
        <v>60</v>
      </c>
      <c r="G18" s="15">
        <v>2</v>
      </c>
      <c r="H18" s="15">
        <f t="shared" si="0"/>
        <v>688.33</v>
      </c>
      <c r="I18" s="15">
        <f t="shared" si="1"/>
        <v>1376.66</v>
      </c>
      <c r="J18" s="12"/>
      <c r="L18" s="5">
        <v>700</v>
      </c>
      <c r="M18" s="5">
        <v>690</v>
      </c>
      <c r="N18" s="5">
        <v>675</v>
      </c>
      <c r="O18" s="28">
        <f t="shared" si="2"/>
        <v>688.33</v>
      </c>
      <c r="P18" s="28" t="e">
        <f>#REF!*O18</f>
        <v>#REF!</v>
      </c>
    </row>
    <row r="19" s="2" customFormat="1" ht="120" customHeight="1" outlineLevel="1" spans="1:16">
      <c r="A19" s="12">
        <v>15</v>
      </c>
      <c r="B19" s="12" t="s">
        <v>138</v>
      </c>
      <c r="C19" s="12" t="str">
        <f>_xlfn.DISPIMG("ID_87E4F8C956E74267AE766A0FECBA9ECB",1)</f>
        <v>=DISPIMG("ID_87E4F8C956E74267AE766A0FECBA9ECB",1)</v>
      </c>
      <c r="D19" s="18" t="s">
        <v>139</v>
      </c>
      <c r="E19" s="12" t="s">
        <v>140</v>
      </c>
      <c r="F19" s="14" t="s">
        <v>105</v>
      </c>
      <c r="G19" s="15">
        <v>2</v>
      </c>
      <c r="H19" s="15">
        <f t="shared" si="0"/>
        <v>896</v>
      </c>
      <c r="I19" s="15">
        <f t="shared" si="1"/>
        <v>1792</v>
      </c>
      <c r="J19" s="12"/>
      <c r="L19" s="5">
        <v>900</v>
      </c>
      <c r="M19" s="5">
        <v>948</v>
      </c>
      <c r="N19" s="5">
        <v>840</v>
      </c>
      <c r="O19" s="28">
        <f t="shared" si="2"/>
        <v>896</v>
      </c>
      <c r="P19" s="28" t="e">
        <f>#REF!*O19</f>
        <v>#REF!</v>
      </c>
    </row>
    <row r="20" s="2" customFormat="1" ht="120" customHeight="1" outlineLevel="1" spans="1:16">
      <c r="A20" s="12">
        <v>16</v>
      </c>
      <c r="B20" s="12" t="s">
        <v>120</v>
      </c>
      <c r="C20" s="12" t="str">
        <f>_xlfn.DISPIMG("ID_FF07688E6D3E4AB1A659F0E8E403728B",1)</f>
        <v>=DISPIMG("ID_FF07688E6D3E4AB1A659F0E8E403728B",1)</v>
      </c>
      <c r="D20" s="17" t="s">
        <v>141</v>
      </c>
      <c r="E20" s="12" t="s">
        <v>142</v>
      </c>
      <c r="F20" s="14" t="s">
        <v>116</v>
      </c>
      <c r="G20" s="15">
        <v>2</v>
      </c>
      <c r="H20" s="15">
        <f t="shared" si="0"/>
        <v>151.67</v>
      </c>
      <c r="I20" s="15">
        <f t="shared" si="1"/>
        <v>303.34</v>
      </c>
      <c r="J20" s="12"/>
      <c r="L20" s="5">
        <v>120</v>
      </c>
      <c r="M20" s="5">
        <v>180</v>
      </c>
      <c r="N20" s="5">
        <v>155</v>
      </c>
      <c r="O20" s="28">
        <f t="shared" si="2"/>
        <v>151.67</v>
      </c>
      <c r="P20" s="28" t="e">
        <f>#REF!*O20</f>
        <v>#REF!</v>
      </c>
    </row>
    <row r="21" s="3" customFormat="1" ht="207" customHeight="1" outlineLevel="1" spans="1:16">
      <c r="A21" s="12">
        <v>17</v>
      </c>
      <c r="B21" s="12" t="s">
        <v>143</v>
      </c>
      <c r="C21" s="12" t="str">
        <f>_xlfn.DISPIMG("ID_13B87BE2FF17443C9104532F5B07707E",1)</f>
        <v>=DISPIMG("ID_13B87BE2FF17443C9104532F5B07707E",1)</v>
      </c>
      <c r="D21" s="13" t="s">
        <v>125</v>
      </c>
      <c r="E21" s="12" t="s">
        <v>108</v>
      </c>
      <c r="F21" s="14" t="s">
        <v>116</v>
      </c>
      <c r="G21" s="15">
        <v>2</v>
      </c>
      <c r="H21" s="15">
        <f t="shared" si="0"/>
        <v>381.33</v>
      </c>
      <c r="I21" s="15">
        <f t="shared" si="1"/>
        <v>762.66</v>
      </c>
      <c r="J21" s="29"/>
      <c r="L21" s="5">
        <v>408</v>
      </c>
      <c r="M21" s="5">
        <v>360</v>
      </c>
      <c r="N21" s="5">
        <v>376</v>
      </c>
      <c r="O21" s="28">
        <f t="shared" si="2"/>
        <v>381.33</v>
      </c>
      <c r="P21" s="28" t="e">
        <f>#REF!*O21</f>
        <v>#REF!</v>
      </c>
    </row>
    <row r="22" s="2" customFormat="1" ht="120" customHeight="1" outlineLevel="1" spans="1:16">
      <c r="A22" s="12">
        <v>18</v>
      </c>
      <c r="B22" s="12" t="s">
        <v>144</v>
      </c>
      <c r="C22" s="12" t="str">
        <f>_xlfn.DISPIMG("ID_58CBF819535440E584096445797F858E",1)</f>
        <v>=DISPIMG("ID_58CBF819535440E584096445797F858E",1)</v>
      </c>
      <c r="D22" s="17" t="s">
        <v>145</v>
      </c>
      <c r="E22" s="12" t="s">
        <v>146</v>
      </c>
      <c r="F22" s="14" t="s">
        <v>60</v>
      </c>
      <c r="G22" s="15">
        <v>2</v>
      </c>
      <c r="H22" s="15">
        <f t="shared" si="0"/>
        <v>930</v>
      </c>
      <c r="I22" s="15">
        <f t="shared" si="1"/>
        <v>1860</v>
      </c>
      <c r="J22" s="12"/>
      <c r="L22" s="5">
        <v>1080</v>
      </c>
      <c r="M22" s="5">
        <v>960</v>
      </c>
      <c r="N22" s="5">
        <v>750</v>
      </c>
      <c r="O22" s="28">
        <f t="shared" si="2"/>
        <v>930</v>
      </c>
      <c r="P22" s="28" t="e">
        <f>#REF!*O22</f>
        <v>#REF!</v>
      </c>
    </row>
    <row r="23" s="2" customFormat="1" ht="120" customHeight="1" outlineLevel="1" spans="1:16">
      <c r="A23" s="12">
        <v>19</v>
      </c>
      <c r="B23" s="12" t="s">
        <v>147</v>
      </c>
      <c r="C23" s="12" t="str">
        <f>_xlfn.DISPIMG("ID_9E27CAFFF04447609C3396EE44E6BB39",1)</f>
        <v>=DISPIMG("ID_9E27CAFFF04447609C3396EE44E6BB39",1)</v>
      </c>
      <c r="D23" s="13" t="s">
        <v>148</v>
      </c>
      <c r="E23" s="12" t="s">
        <v>149</v>
      </c>
      <c r="F23" s="14" t="s">
        <v>60</v>
      </c>
      <c r="G23" s="15">
        <v>2</v>
      </c>
      <c r="H23" s="15">
        <f t="shared" si="0"/>
        <v>1726.67</v>
      </c>
      <c r="I23" s="15">
        <f t="shared" si="1"/>
        <v>3453.34</v>
      </c>
      <c r="J23" s="12"/>
      <c r="L23" s="5">
        <v>1700</v>
      </c>
      <c r="M23" s="5">
        <v>1530</v>
      </c>
      <c r="N23" s="5">
        <v>1950</v>
      </c>
      <c r="O23" s="28">
        <f t="shared" si="2"/>
        <v>1726.67</v>
      </c>
      <c r="P23" s="28" t="e">
        <f>#REF!*O23</f>
        <v>#REF!</v>
      </c>
    </row>
    <row r="24" s="3" customFormat="1" ht="250" customHeight="1" outlineLevel="1" spans="1:16">
      <c r="A24" s="12">
        <v>20</v>
      </c>
      <c r="B24" s="19" t="s">
        <v>150</v>
      </c>
      <c r="C24" s="19" t="str">
        <f>_xlfn.DISPIMG("ID_E0EEA125DCFD4C82A69EE1BB6284FFC4",1)</f>
        <v>=DISPIMG("ID_E0EEA125DCFD4C82A69EE1BB6284FFC4",1)</v>
      </c>
      <c r="D24" s="20" t="s">
        <v>151</v>
      </c>
      <c r="E24" s="19" t="s">
        <v>152</v>
      </c>
      <c r="F24" s="14" t="s">
        <v>56</v>
      </c>
      <c r="G24" s="15">
        <v>1</v>
      </c>
      <c r="H24" s="15">
        <f t="shared" si="0"/>
        <v>1283.33</v>
      </c>
      <c r="I24" s="15">
        <f t="shared" si="1"/>
        <v>1283.33</v>
      </c>
      <c r="J24" s="29"/>
      <c r="L24" s="5">
        <v>1170</v>
      </c>
      <c r="M24" s="5">
        <v>1280</v>
      </c>
      <c r="N24" s="5">
        <v>1400</v>
      </c>
      <c r="O24" s="28">
        <f t="shared" si="2"/>
        <v>1283.33</v>
      </c>
      <c r="P24" s="28" t="e">
        <f>#REF!*O24</f>
        <v>#REF!</v>
      </c>
    </row>
    <row r="25" s="2" customFormat="1" ht="120" customHeight="1" outlineLevel="1" spans="1:16">
      <c r="A25" s="12">
        <v>21</v>
      </c>
      <c r="B25" s="12" t="s">
        <v>153</v>
      </c>
      <c r="C25" s="12" t="str">
        <f>_xlfn.DISPIMG("ID_202DEE412DC2413C9484236AEDA15F40",1)</f>
        <v>=DISPIMG("ID_202DEE412DC2413C9484236AEDA15F40",1)</v>
      </c>
      <c r="D25" s="13" t="s">
        <v>154</v>
      </c>
      <c r="E25" s="12" t="s">
        <v>155</v>
      </c>
      <c r="F25" s="14" t="s">
        <v>116</v>
      </c>
      <c r="G25" s="15">
        <v>2</v>
      </c>
      <c r="H25" s="15">
        <f t="shared" si="0"/>
        <v>1113.33</v>
      </c>
      <c r="I25" s="15">
        <f t="shared" si="1"/>
        <v>2226.66</v>
      </c>
      <c r="J25" s="12"/>
      <c r="L25" s="5">
        <v>1040</v>
      </c>
      <c r="M25" s="5">
        <v>1120</v>
      </c>
      <c r="N25" s="5">
        <v>1180</v>
      </c>
      <c r="O25" s="28">
        <f t="shared" si="2"/>
        <v>1113.33</v>
      </c>
      <c r="P25" s="28" t="e">
        <f>#REF!*O25</f>
        <v>#REF!</v>
      </c>
    </row>
    <row r="26" s="2" customFormat="1" ht="214" customHeight="1" outlineLevel="1" spans="1:16">
      <c r="A26" s="12">
        <v>22</v>
      </c>
      <c r="B26" s="12" t="s">
        <v>127</v>
      </c>
      <c r="C26" s="12" t="str">
        <f>_xlfn.DISPIMG("ID_707F6475AE9B4F3795AF652F7C9AA31D",1)</f>
        <v>=DISPIMG("ID_707F6475AE9B4F3795AF652F7C9AA31D",1)</v>
      </c>
      <c r="D26" s="13" t="s">
        <v>110</v>
      </c>
      <c r="E26" s="12" t="s">
        <v>129</v>
      </c>
      <c r="F26" s="14" t="s">
        <v>60</v>
      </c>
      <c r="G26" s="15">
        <v>15</v>
      </c>
      <c r="H26" s="15">
        <f t="shared" si="0"/>
        <v>733.67</v>
      </c>
      <c r="I26" s="15">
        <f t="shared" si="1"/>
        <v>11005.05</v>
      </c>
      <c r="J26" s="12"/>
      <c r="L26" s="5">
        <v>626</v>
      </c>
      <c r="M26" s="5">
        <v>725</v>
      </c>
      <c r="N26" s="5">
        <v>850</v>
      </c>
      <c r="O26" s="28">
        <f t="shared" si="2"/>
        <v>733.67</v>
      </c>
      <c r="P26" s="28" t="e">
        <f>#REF!*O26</f>
        <v>#REF!</v>
      </c>
    </row>
    <row r="27" s="2" customFormat="1" ht="243" customHeight="1" outlineLevel="1" spans="1:16">
      <c r="A27" s="12">
        <v>23</v>
      </c>
      <c r="B27" s="12" t="s">
        <v>120</v>
      </c>
      <c r="C27" s="12" t="str">
        <f>_xlfn.DISPIMG("ID_C1A49C2D5895476A8DFAE33F31D7FC7A",1)</f>
        <v>=DISPIMG("ID_C1A49C2D5895476A8DFAE33F31D7FC7A",1)</v>
      </c>
      <c r="D27" s="17" t="s">
        <v>121</v>
      </c>
      <c r="E27" s="12" t="s">
        <v>108</v>
      </c>
      <c r="F27" s="14" t="s">
        <v>116</v>
      </c>
      <c r="G27" s="15">
        <v>15</v>
      </c>
      <c r="H27" s="15">
        <f t="shared" si="0"/>
        <v>248</v>
      </c>
      <c r="I27" s="15">
        <f t="shared" si="1"/>
        <v>3720</v>
      </c>
      <c r="J27" s="12"/>
      <c r="L27" s="5">
        <v>238</v>
      </c>
      <c r="M27" s="5">
        <v>288</v>
      </c>
      <c r="N27" s="5">
        <v>218</v>
      </c>
      <c r="O27" s="28">
        <f t="shared" si="2"/>
        <v>248</v>
      </c>
      <c r="P27" s="28" t="e">
        <f>#REF!*O27</f>
        <v>#REF!</v>
      </c>
    </row>
    <row r="28" s="2" customFormat="1" ht="155" customHeight="1" outlineLevel="1" spans="1:16">
      <c r="A28" s="12">
        <v>24</v>
      </c>
      <c r="B28" s="12" t="s">
        <v>135</v>
      </c>
      <c r="C28" s="12" t="str">
        <f>_xlfn.DISPIMG("ID_23F0BF9A68D54E29A98A2D293F8C0DE8",1)</f>
        <v>=DISPIMG("ID_23F0BF9A68D54E29A98A2D293F8C0DE8",1)</v>
      </c>
      <c r="D28" s="13" t="s">
        <v>136</v>
      </c>
      <c r="E28" s="12" t="s">
        <v>137</v>
      </c>
      <c r="F28" s="14" t="s">
        <v>60</v>
      </c>
      <c r="G28" s="15">
        <v>15</v>
      </c>
      <c r="H28" s="15">
        <f t="shared" si="0"/>
        <v>688.33</v>
      </c>
      <c r="I28" s="15">
        <f t="shared" si="1"/>
        <v>10324.95</v>
      </c>
      <c r="J28" s="12"/>
      <c r="L28" s="5">
        <v>700</v>
      </c>
      <c r="M28" s="5">
        <v>690</v>
      </c>
      <c r="N28" s="5">
        <v>675</v>
      </c>
      <c r="O28" s="28">
        <f t="shared" si="2"/>
        <v>688.33</v>
      </c>
      <c r="P28" s="28" t="e">
        <f>#REF!*O28</f>
        <v>#REF!</v>
      </c>
    </row>
    <row r="29" s="2" customFormat="1" ht="259" customHeight="1" outlineLevel="1" spans="1:16">
      <c r="A29" s="12">
        <v>25</v>
      </c>
      <c r="B29" s="12" t="s">
        <v>156</v>
      </c>
      <c r="C29" s="12" t="str">
        <f>_xlfn.DISPIMG("ID_419FCDE7276D4F179DC53B09EA71E3A3",1)</f>
        <v>=DISPIMG("ID_419FCDE7276D4F179DC53B09EA71E3A3",1)</v>
      </c>
      <c r="D29" s="13" t="s">
        <v>157</v>
      </c>
      <c r="E29" s="12" t="s">
        <v>158</v>
      </c>
      <c r="F29" s="14" t="s">
        <v>60</v>
      </c>
      <c r="G29" s="15">
        <v>1</v>
      </c>
      <c r="H29" s="15">
        <f t="shared" si="0"/>
        <v>5466.67</v>
      </c>
      <c r="I29" s="15">
        <f t="shared" si="1"/>
        <v>5466.67</v>
      </c>
      <c r="J29" s="12"/>
      <c r="L29" s="5">
        <v>5300</v>
      </c>
      <c r="M29" s="5">
        <v>4800</v>
      </c>
      <c r="N29" s="5">
        <v>6300</v>
      </c>
      <c r="O29" s="28">
        <f t="shared" si="2"/>
        <v>5466.67</v>
      </c>
      <c r="P29" s="28" t="e">
        <f>#REF!*O29</f>
        <v>#REF!</v>
      </c>
    </row>
    <row r="30" ht="159" customHeight="1" outlineLevel="1" spans="1:16">
      <c r="A30" s="12">
        <v>26</v>
      </c>
      <c r="B30" s="12" t="s">
        <v>159</v>
      </c>
      <c r="C30" s="12" t="str">
        <f>_xlfn.DISPIMG("ID_E0A9841A6C6D4ECBBC367AE36F584011",1)</f>
        <v>=DISPIMG("ID_E0A9841A6C6D4ECBBC367AE36F584011",1)</v>
      </c>
      <c r="D30" s="13" t="s">
        <v>160</v>
      </c>
      <c r="E30" s="12" t="s">
        <v>108</v>
      </c>
      <c r="F30" s="14" t="s">
        <v>116</v>
      </c>
      <c r="G30" s="15">
        <v>16</v>
      </c>
      <c r="H30" s="15">
        <f t="shared" si="0"/>
        <v>248</v>
      </c>
      <c r="I30" s="15">
        <f t="shared" si="1"/>
        <v>3968</v>
      </c>
      <c r="J30" s="12"/>
      <c r="L30" s="5">
        <v>238</v>
      </c>
      <c r="M30" s="5">
        <v>288</v>
      </c>
      <c r="N30" s="5">
        <v>218</v>
      </c>
      <c r="O30" s="28">
        <f t="shared" si="2"/>
        <v>248</v>
      </c>
      <c r="P30" s="28" t="e">
        <f>#REF!*O30</f>
        <v>#REF!</v>
      </c>
    </row>
    <row r="31" ht="205" customHeight="1" outlineLevel="1" spans="1:16">
      <c r="A31" s="12">
        <v>27</v>
      </c>
      <c r="B31" s="12" t="s">
        <v>161</v>
      </c>
      <c r="C31" s="12" t="str">
        <f>_xlfn.DISPIMG("ID_DB3C772423B34482877CC874656CE459",1)</f>
        <v>=DISPIMG("ID_DB3C772423B34482877CC874656CE459",1)</v>
      </c>
      <c r="D31" s="13" t="s">
        <v>128</v>
      </c>
      <c r="E31" s="12" t="s">
        <v>162</v>
      </c>
      <c r="F31" s="14" t="s">
        <v>60</v>
      </c>
      <c r="G31" s="15">
        <v>1</v>
      </c>
      <c r="H31" s="15">
        <f t="shared" si="0"/>
        <v>501.67</v>
      </c>
      <c r="I31" s="15">
        <f t="shared" si="1"/>
        <v>501.67</v>
      </c>
      <c r="J31" s="12"/>
      <c r="L31" s="5">
        <v>420</v>
      </c>
      <c r="M31" s="5">
        <v>580</v>
      </c>
      <c r="N31" s="5">
        <v>505</v>
      </c>
      <c r="O31" s="28">
        <f t="shared" si="2"/>
        <v>501.67</v>
      </c>
      <c r="P31" s="28" t="e">
        <f>#REF!*O31</f>
        <v>#REF!</v>
      </c>
    </row>
    <row r="32" ht="177" customHeight="1" outlineLevel="1" spans="1:16">
      <c r="A32" s="12">
        <v>28</v>
      </c>
      <c r="B32" s="12" t="s">
        <v>135</v>
      </c>
      <c r="C32" s="12" t="str">
        <f>_xlfn.DISPIMG("ID_F796092CB2604843B7FF0BA66936968D",1)</f>
        <v>=DISPIMG("ID_F796092CB2604843B7FF0BA66936968D",1)</v>
      </c>
      <c r="D32" s="13" t="s">
        <v>136</v>
      </c>
      <c r="E32" s="12" t="s">
        <v>137</v>
      </c>
      <c r="F32" s="14" t="s">
        <v>60</v>
      </c>
      <c r="G32" s="15">
        <v>8</v>
      </c>
      <c r="H32" s="15">
        <f t="shared" si="0"/>
        <v>688.33</v>
      </c>
      <c r="I32" s="15">
        <f t="shared" si="1"/>
        <v>5506.64</v>
      </c>
      <c r="J32" s="12"/>
      <c r="L32" s="5">
        <v>700</v>
      </c>
      <c r="M32" s="5">
        <v>690</v>
      </c>
      <c r="N32" s="5">
        <v>675</v>
      </c>
      <c r="O32" s="28">
        <f t="shared" si="2"/>
        <v>688.33</v>
      </c>
      <c r="P32" s="28" t="e">
        <f>#REF!*O32</f>
        <v>#REF!</v>
      </c>
    </row>
    <row r="33" ht="120" customHeight="1" outlineLevel="1" spans="1:16">
      <c r="A33" s="12">
        <v>29</v>
      </c>
      <c r="B33" s="12" t="s">
        <v>131</v>
      </c>
      <c r="C33" s="12" t="str">
        <f>_xlfn.DISPIMG("ID_6455DBAC40FF4AF981D1886370A75AFB",1)</f>
        <v>=DISPIMG("ID_6455DBAC40FF4AF981D1886370A75AFB",1)</v>
      </c>
      <c r="D33" s="17" t="s">
        <v>163</v>
      </c>
      <c r="E33" s="12" t="s">
        <v>164</v>
      </c>
      <c r="F33" s="14" t="s">
        <v>105</v>
      </c>
      <c r="G33" s="15">
        <v>8</v>
      </c>
      <c r="H33" s="15">
        <f t="shared" si="0"/>
        <v>2026.67</v>
      </c>
      <c r="I33" s="15">
        <f t="shared" si="1"/>
        <v>16213.36</v>
      </c>
      <c r="J33" s="12"/>
      <c r="L33" s="5">
        <v>1800</v>
      </c>
      <c r="M33" s="5">
        <v>2000</v>
      </c>
      <c r="N33" s="5">
        <v>2280</v>
      </c>
      <c r="O33" s="28">
        <f t="shared" si="2"/>
        <v>2026.67</v>
      </c>
      <c r="P33" s="28" t="e">
        <f>#REF!*O33</f>
        <v>#REF!</v>
      </c>
    </row>
    <row r="34" ht="120" customHeight="1" outlineLevel="1" spans="1:16">
      <c r="A34" s="12">
        <v>30</v>
      </c>
      <c r="B34" s="12" t="s">
        <v>106</v>
      </c>
      <c r="C34" s="12" t="str">
        <f>_xlfn.DISPIMG("ID_51CA88140B674774A03A155ADE68AB01",1)</f>
        <v>=DISPIMG("ID_51CA88140B674774A03A155ADE68AB01",1)</v>
      </c>
      <c r="D34" s="13" t="s">
        <v>134</v>
      </c>
      <c r="E34" s="12" t="s">
        <v>108</v>
      </c>
      <c r="F34" s="14" t="s">
        <v>105</v>
      </c>
      <c r="G34" s="15">
        <v>16</v>
      </c>
      <c r="H34" s="15">
        <f t="shared" si="0"/>
        <v>191</v>
      </c>
      <c r="I34" s="15">
        <f t="shared" si="1"/>
        <v>3056</v>
      </c>
      <c r="J34" s="12"/>
      <c r="L34" s="5">
        <v>195</v>
      </c>
      <c r="M34" s="5">
        <v>188</v>
      </c>
      <c r="N34" s="5">
        <v>190</v>
      </c>
      <c r="O34" s="28">
        <f t="shared" si="2"/>
        <v>191</v>
      </c>
      <c r="P34" s="28" t="e">
        <f>#REF!*O34</f>
        <v>#REF!</v>
      </c>
    </row>
    <row r="35" ht="212" customHeight="1" outlineLevel="1" spans="1:16">
      <c r="A35" s="12">
        <v>31</v>
      </c>
      <c r="B35" s="12" t="s">
        <v>165</v>
      </c>
      <c r="C35" s="12" t="str">
        <f>_xlfn.DISPIMG("ID_39B43E8132B342A59F76FF8138F9ACA2",1)</f>
        <v>=DISPIMG("ID_39B43E8132B342A59F76FF8138F9ACA2",1)</v>
      </c>
      <c r="D35" s="13" t="s">
        <v>110</v>
      </c>
      <c r="E35" s="12" t="s">
        <v>166</v>
      </c>
      <c r="F35" s="14" t="s">
        <v>60</v>
      </c>
      <c r="G35" s="15">
        <v>1</v>
      </c>
      <c r="H35" s="15">
        <f t="shared" si="0"/>
        <v>918</v>
      </c>
      <c r="I35" s="15">
        <f t="shared" si="1"/>
        <v>918</v>
      </c>
      <c r="J35" s="12"/>
      <c r="L35" s="5">
        <v>750</v>
      </c>
      <c r="M35" s="5">
        <v>1016</v>
      </c>
      <c r="N35" s="5">
        <v>988</v>
      </c>
      <c r="O35" s="28">
        <f t="shared" si="2"/>
        <v>918</v>
      </c>
      <c r="P35" s="28" t="e">
        <f>#REF!*O35</f>
        <v>#REF!</v>
      </c>
    </row>
    <row r="36" s="2" customFormat="1" ht="303" customHeight="1" outlineLevel="1" spans="1:16">
      <c r="A36" s="12">
        <v>32</v>
      </c>
      <c r="B36" s="12" t="s">
        <v>167</v>
      </c>
      <c r="C36" s="12" t="str">
        <f>_xlfn.DISPIMG("ID_4E557578217C4EEA9AB46A08F6018EFC",1)</f>
        <v>=DISPIMG("ID_4E557578217C4EEA9AB46A08F6018EFC",1)</v>
      </c>
      <c r="D36" s="13" t="s">
        <v>168</v>
      </c>
      <c r="E36" s="12" t="s">
        <v>169</v>
      </c>
      <c r="F36" s="14" t="s">
        <v>60</v>
      </c>
      <c r="G36" s="15">
        <v>36</v>
      </c>
      <c r="H36" s="15">
        <f t="shared" si="0"/>
        <v>1073.33</v>
      </c>
      <c r="I36" s="15">
        <f t="shared" si="1"/>
        <v>38639.88</v>
      </c>
      <c r="J36" s="12"/>
      <c r="L36" s="5">
        <v>980</v>
      </c>
      <c r="M36" s="5">
        <v>1090</v>
      </c>
      <c r="N36" s="5">
        <v>1150</v>
      </c>
      <c r="O36" s="28">
        <f t="shared" si="2"/>
        <v>1073.33</v>
      </c>
      <c r="P36" s="28" t="e">
        <f>#REF!*O36</f>
        <v>#REF!</v>
      </c>
    </row>
    <row r="37" ht="240" customHeight="1" outlineLevel="1" spans="1:16">
      <c r="A37" s="12">
        <v>33</v>
      </c>
      <c r="B37" s="12" t="s">
        <v>170</v>
      </c>
      <c r="C37" s="12" t="str">
        <f>_xlfn.DISPIMG("ID_DDE421BB2A7641BDB64B478834068648",1)</f>
        <v>=DISPIMG("ID_DDE421BB2A7641BDB64B478834068648",1)</v>
      </c>
      <c r="D37" s="13" t="s">
        <v>151</v>
      </c>
      <c r="E37" s="12" t="s">
        <v>108</v>
      </c>
      <c r="F37" s="14" t="s">
        <v>116</v>
      </c>
      <c r="G37" s="15">
        <v>144</v>
      </c>
      <c r="H37" s="15">
        <f t="shared" si="0"/>
        <v>381.33</v>
      </c>
      <c r="I37" s="15">
        <f t="shared" si="1"/>
        <v>54911.52</v>
      </c>
      <c r="J37" s="12"/>
      <c r="L37" s="5">
        <v>408</v>
      </c>
      <c r="M37" s="5">
        <v>360</v>
      </c>
      <c r="N37" s="5">
        <v>376</v>
      </c>
      <c r="O37" s="28">
        <f t="shared" si="2"/>
        <v>381.33</v>
      </c>
      <c r="P37" s="28" t="e">
        <f>#REF!*O37</f>
        <v>#REF!</v>
      </c>
    </row>
    <row r="38" ht="321" customHeight="1" outlineLevel="1" spans="1:16">
      <c r="A38" s="12">
        <v>34</v>
      </c>
      <c r="B38" s="12" t="s">
        <v>171</v>
      </c>
      <c r="C38" s="12" t="str">
        <f>_xlfn.DISPIMG("ID_DE0D7D9540E44675A4BD7724D81C20F1",1)</f>
        <v>=DISPIMG("ID_DE0D7D9540E44675A4BD7724D81C20F1",1)</v>
      </c>
      <c r="D38" s="17" t="s">
        <v>168</v>
      </c>
      <c r="E38" s="12" t="s">
        <v>172</v>
      </c>
      <c r="F38" s="14" t="s">
        <v>60</v>
      </c>
      <c r="G38" s="15">
        <v>1</v>
      </c>
      <c r="H38" s="15">
        <f t="shared" si="0"/>
        <v>3060</v>
      </c>
      <c r="I38" s="15">
        <f t="shared" si="1"/>
        <v>3060</v>
      </c>
      <c r="J38" s="12"/>
      <c r="L38" s="5">
        <v>2900</v>
      </c>
      <c r="M38" s="5">
        <v>3100</v>
      </c>
      <c r="N38" s="5">
        <v>3180</v>
      </c>
      <c r="O38" s="28">
        <f t="shared" si="2"/>
        <v>3060</v>
      </c>
      <c r="P38" s="28" t="e">
        <f>#REF!*O38</f>
        <v>#REF!</v>
      </c>
    </row>
    <row r="39" s="2" customFormat="1" ht="120" customHeight="1" outlineLevel="1" spans="1:16">
      <c r="A39" s="12">
        <v>35</v>
      </c>
      <c r="B39" s="12" t="s">
        <v>173</v>
      </c>
      <c r="C39" s="12" t="str">
        <f>_xlfn.DISPIMG("ID_CDEE695B193F4D28B14B13C60ECE63FE",1)</f>
        <v>=DISPIMG("ID_CDEE695B193F4D28B14B13C60ECE63FE",1)</v>
      </c>
      <c r="D39" s="17" t="s">
        <v>174</v>
      </c>
      <c r="E39" s="12" t="s">
        <v>108</v>
      </c>
      <c r="F39" s="14" t="s">
        <v>116</v>
      </c>
      <c r="G39" s="15">
        <v>1</v>
      </c>
      <c r="H39" s="15">
        <f t="shared" si="0"/>
        <v>403.33</v>
      </c>
      <c r="I39" s="15">
        <f t="shared" si="1"/>
        <v>403.33</v>
      </c>
      <c r="J39" s="12"/>
      <c r="L39" s="5">
        <v>420</v>
      </c>
      <c r="M39" s="5">
        <v>450</v>
      </c>
      <c r="N39" s="5">
        <v>340</v>
      </c>
      <c r="O39" s="28">
        <f t="shared" si="2"/>
        <v>403.33</v>
      </c>
      <c r="P39" s="28" t="e">
        <f>#REF!*O39</f>
        <v>#REF!</v>
      </c>
    </row>
    <row r="40" ht="224" customHeight="1" outlineLevel="1" spans="1:16">
      <c r="A40" s="12">
        <v>36</v>
      </c>
      <c r="B40" s="12" t="s">
        <v>175</v>
      </c>
      <c r="C40" s="12" t="str">
        <f>_xlfn.DISPIMG("ID_C4FEF046DEB2450B8D45314B769D086C",1)</f>
        <v>=DISPIMG("ID_C4FEF046DEB2450B8D45314B769D086C",1)</v>
      </c>
      <c r="D40" s="13" t="s">
        <v>128</v>
      </c>
      <c r="E40" s="12" t="s">
        <v>176</v>
      </c>
      <c r="F40" s="14" t="s">
        <v>60</v>
      </c>
      <c r="G40" s="15">
        <v>1</v>
      </c>
      <c r="H40" s="15">
        <f t="shared" si="0"/>
        <v>6210</v>
      </c>
      <c r="I40" s="15">
        <f t="shared" si="1"/>
        <v>6210</v>
      </c>
      <c r="J40" s="12"/>
      <c r="L40" s="5">
        <v>6280</v>
      </c>
      <c r="M40" s="5">
        <v>6150</v>
      </c>
      <c r="N40" s="5">
        <v>6200</v>
      </c>
      <c r="O40" s="28">
        <f t="shared" si="2"/>
        <v>6210</v>
      </c>
      <c r="P40" s="28" t="e">
        <f>#REF!*O40</f>
        <v>#REF!</v>
      </c>
    </row>
    <row r="41" s="2" customFormat="1" ht="120" customHeight="1" outlineLevel="1" spans="1:16">
      <c r="A41" s="12">
        <v>37</v>
      </c>
      <c r="B41" s="12" t="s">
        <v>177</v>
      </c>
      <c r="C41" s="12" t="str">
        <f>_xlfn.DISPIMG("ID_3A4418FDD9F340CD896B6B3492C747FF",1)</f>
        <v>=DISPIMG("ID_3A4418FDD9F340CD896B6B3492C747FF",1)</v>
      </c>
      <c r="D41" s="17" t="s">
        <v>178</v>
      </c>
      <c r="E41" s="12" t="s">
        <v>179</v>
      </c>
      <c r="F41" s="14" t="s">
        <v>180</v>
      </c>
      <c r="G41" s="15">
        <v>7</v>
      </c>
      <c r="H41" s="15">
        <f t="shared" si="0"/>
        <v>2552.67</v>
      </c>
      <c r="I41" s="15">
        <f t="shared" si="1"/>
        <v>17868.69</v>
      </c>
      <c r="J41" s="12"/>
      <c r="L41" s="5">
        <v>2969</v>
      </c>
      <c r="M41" s="5">
        <v>2319</v>
      </c>
      <c r="N41" s="5">
        <v>2370</v>
      </c>
      <c r="O41" s="28">
        <f t="shared" si="2"/>
        <v>2552.67</v>
      </c>
      <c r="P41" s="28" t="e">
        <f>#REF!*O41</f>
        <v>#REF!</v>
      </c>
    </row>
    <row r="42" s="2" customFormat="1" ht="312" customHeight="1" outlineLevel="1" spans="1:16">
      <c r="A42" s="12">
        <v>38</v>
      </c>
      <c r="B42" s="12" t="s">
        <v>181</v>
      </c>
      <c r="C42" s="12" t="str">
        <f>_xlfn.DISPIMG("ID_F8079901EAB448429204BC54351DE494",1)</f>
        <v>=DISPIMG("ID_F8079901EAB448429204BC54351DE494",1)</v>
      </c>
      <c r="D42" s="13" t="s">
        <v>168</v>
      </c>
      <c r="E42" s="12" t="s">
        <v>129</v>
      </c>
      <c r="F42" s="14" t="s">
        <v>60</v>
      </c>
      <c r="G42" s="15">
        <v>6</v>
      </c>
      <c r="H42" s="15">
        <f t="shared" si="0"/>
        <v>1108</v>
      </c>
      <c r="I42" s="15">
        <f t="shared" si="1"/>
        <v>6648</v>
      </c>
      <c r="J42" s="12"/>
      <c r="L42" s="5">
        <v>1050</v>
      </c>
      <c r="M42" s="5">
        <v>1190</v>
      </c>
      <c r="N42" s="5">
        <v>1084</v>
      </c>
      <c r="O42" s="28">
        <f t="shared" si="2"/>
        <v>1108</v>
      </c>
      <c r="P42" s="28" t="e">
        <f>#REF!*O42</f>
        <v>#REF!</v>
      </c>
    </row>
    <row r="43" ht="240" customHeight="1" outlineLevel="1" spans="1:16">
      <c r="A43" s="12">
        <v>39</v>
      </c>
      <c r="B43" s="12" t="s">
        <v>143</v>
      </c>
      <c r="C43" s="12" t="str">
        <f>_xlfn.DISPIMG("ID_F0B73C80A43649FA851F288C37815257",1)</f>
        <v>=DISPIMG("ID_F0B73C80A43649FA851F288C37815257",1)</v>
      </c>
      <c r="D43" s="13" t="s">
        <v>125</v>
      </c>
      <c r="E43" s="12" t="s">
        <v>108</v>
      </c>
      <c r="F43" s="14" t="s">
        <v>116</v>
      </c>
      <c r="G43" s="15">
        <v>52</v>
      </c>
      <c r="H43" s="15">
        <f t="shared" si="0"/>
        <v>381.33</v>
      </c>
      <c r="I43" s="15">
        <f t="shared" si="1"/>
        <v>19829.16</v>
      </c>
      <c r="J43" s="12"/>
      <c r="L43" s="5">
        <v>408</v>
      </c>
      <c r="M43" s="5">
        <v>360</v>
      </c>
      <c r="N43" s="5">
        <v>376</v>
      </c>
      <c r="O43" s="28">
        <f t="shared" si="2"/>
        <v>381.33</v>
      </c>
      <c r="P43" s="28" t="e">
        <f>#REF!*O43</f>
        <v>#REF!</v>
      </c>
    </row>
    <row r="44" s="2" customFormat="1" ht="120" customHeight="1" outlineLevel="1" spans="1:16">
      <c r="A44" s="12">
        <v>40</v>
      </c>
      <c r="B44" s="12" t="s">
        <v>182</v>
      </c>
      <c r="C44" s="12" t="str">
        <f>_xlfn.DISPIMG("ID_6AC4DE45CE954066963AEF00DFBFD578",1)</f>
        <v>=DISPIMG("ID_6AC4DE45CE954066963AEF00DFBFD578",1)</v>
      </c>
      <c r="D44" s="13" t="s">
        <v>183</v>
      </c>
      <c r="E44" s="12" t="s">
        <v>184</v>
      </c>
      <c r="F44" s="14" t="s">
        <v>60</v>
      </c>
      <c r="G44" s="15">
        <v>1</v>
      </c>
      <c r="H44" s="15">
        <f t="shared" si="0"/>
        <v>5100</v>
      </c>
      <c r="I44" s="15">
        <f t="shared" si="1"/>
        <v>5100</v>
      </c>
      <c r="J44" s="12"/>
      <c r="L44" s="5">
        <v>4880</v>
      </c>
      <c r="M44" s="5">
        <v>5450</v>
      </c>
      <c r="N44" s="5">
        <v>4970</v>
      </c>
      <c r="O44" s="28">
        <f t="shared" si="2"/>
        <v>5100</v>
      </c>
      <c r="P44" s="28" t="e">
        <f>#REF!*O44</f>
        <v>#REF!</v>
      </c>
    </row>
    <row r="45" s="2" customFormat="1" ht="120" customHeight="1" outlineLevel="1" spans="1:16">
      <c r="A45" s="12">
        <v>41</v>
      </c>
      <c r="B45" s="12" t="s">
        <v>185</v>
      </c>
      <c r="C45" s="12" t="str">
        <f>_xlfn.DISPIMG("ID_806F6246947E4C819B2D151479D6FFF8",1)</f>
        <v>=DISPIMG("ID_806F6246947E4C819B2D151479D6FFF8",1)</v>
      </c>
      <c r="D45" s="13" t="s">
        <v>186</v>
      </c>
      <c r="E45" s="12" t="s">
        <v>108</v>
      </c>
      <c r="F45" s="14" t="s">
        <v>116</v>
      </c>
      <c r="G45" s="15">
        <v>10</v>
      </c>
      <c r="H45" s="15">
        <f t="shared" si="0"/>
        <v>4249.67</v>
      </c>
      <c r="I45" s="15">
        <f t="shared" si="1"/>
        <v>42496.7</v>
      </c>
      <c r="J45" s="12"/>
      <c r="L45" s="5">
        <v>3799</v>
      </c>
      <c r="M45" s="5">
        <v>5100</v>
      </c>
      <c r="N45" s="5">
        <v>3850</v>
      </c>
      <c r="O45" s="28">
        <f t="shared" si="2"/>
        <v>4249.67</v>
      </c>
      <c r="P45" s="28" t="e">
        <f>#REF!*O45</f>
        <v>#REF!</v>
      </c>
    </row>
    <row r="46" s="2" customFormat="1" ht="222" customHeight="1" outlineLevel="1" spans="1:16">
      <c r="A46" s="12">
        <v>42</v>
      </c>
      <c r="B46" s="12" t="s">
        <v>187</v>
      </c>
      <c r="C46" s="12" t="str">
        <f>_xlfn.DISPIMG("ID_7C0C51A4201E4CF6BF0FCC63C449EB85",1)</f>
        <v>=DISPIMG("ID_7C0C51A4201E4CF6BF0FCC63C449EB85",1)</v>
      </c>
      <c r="D46" s="13" t="s">
        <v>103</v>
      </c>
      <c r="E46" s="12" t="s">
        <v>104</v>
      </c>
      <c r="F46" s="14" t="s">
        <v>105</v>
      </c>
      <c r="G46" s="15">
        <v>1</v>
      </c>
      <c r="H46" s="15">
        <f t="shared" si="0"/>
        <v>2373.33</v>
      </c>
      <c r="I46" s="15">
        <f t="shared" si="1"/>
        <v>2373.33</v>
      </c>
      <c r="J46" s="12"/>
      <c r="L46" s="5">
        <v>2590</v>
      </c>
      <c r="M46" s="5">
        <v>2350</v>
      </c>
      <c r="N46" s="5">
        <v>2180</v>
      </c>
      <c r="O46" s="28">
        <f t="shared" si="2"/>
        <v>2373.33</v>
      </c>
      <c r="P46" s="28" t="e">
        <f>#REF!*O46</f>
        <v>#REF!</v>
      </c>
    </row>
    <row r="47" s="2" customFormat="1" ht="216" customHeight="1" outlineLevel="1" spans="1:16">
      <c r="A47" s="12">
        <v>43</v>
      </c>
      <c r="B47" s="12" t="s">
        <v>109</v>
      </c>
      <c r="C47" s="12" t="str">
        <f>_xlfn.DISPIMG("ID_4672A0A02B454563BB6493DFB66574FE",1)</f>
        <v>=DISPIMG("ID_4672A0A02B454563BB6493DFB66574FE",1)</v>
      </c>
      <c r="D47" s="13" t="s">
        <v>110</v>
      </c>
      <c r="E47" s="12" t="s">
        <v>111</v>
      </c>
      <c r="F47" s="14" t="s">
        <v>56</v>
      </c>
      <c r="G47" s="15">
        <v>200</v>
      </c>
      <c r="H47" s="15">
        <f t="shared" si="0"/>
        <v>251.67</v>
      </c>
      <c r="I47" s="15">
        <f t="shared" si="1"/>
        <v>50334</v>
      </c>
      <c r="J47" s="12"/>
      <c r="L47" s="5">
        <v>250</v>
      </c>
      <c r="M47" s="5">
        <v>260</v>
      </c>
      <c r="N47" s="5">
        <v>245</v>
      </c>
      <c r="O47" s="28">
        <f t="shared" si="2"/>
        <v>251.67</v>
      </c>
      <c r="P47" s="28" t="e">
        <f>#REF!*O47</f>
        <v>#REF!</v>
      </c>
    </row>
    <row r="48" ht="211" customHeight="1" outlineLevel="1" spans="1:16">
      <c r="A48" s="12">
        <v>44</v>
      </c>
      <c r="B48" s="12" t="s">
        <v>188</v>
      </c>
      <c r="C48" s="12" t="str">
        <f>_xlfn.DISPIMG("ID_5C146A1F1EDA4491A352B3938B5E9DB4",1)</f>
        <v>=DISPIMG("ID_5C146A1F1EDA4491A352B3938B5E9DB4",1)</v>
      </c>
      <c r="D48" s="13" t="s">
        <v>110</v>
      </c>
      <c r="E48" s="12" t="s">
        <v>166</v>
      </c>
      <c r="F48" s="14" t="s">
        <v>60</v>
      </c>
      <c r="G48" s="15">
        <v>1</v>
      </c>
      <c r="H48" s="15">
        <f t="shared" si="0"/>
        <v>1031.33</v>
      </c>
      <c r="I48" s="15">
        <f t="shared" si="1"/>
        <v>1031.33</v>
      </c>
      <c r="J48" s="12"/>
      <c r="L48" s="5">
        <v>1090</v>
      </c>
      <c r="M48" s="5">
        <v>1016</v>
      </c>
      <c r="N48" s="5">
        <v>988</v>
      </c>
      <c r="O48" s="28">
        <f t="shared" si="2"/>
        <v>1031.33</v>
      </c>
      <c r="P48" s="28" t="e">
        <f>#REF!*O48</f>
        <v>#REF!</v>
      </c>
    </row>
    <row r="49" ht="206" customHeight="1" outlineLevel="1" spans="1:16">
      <c r="A49" s="12">
        <v>45</v>
      </c>
      <c r="B49" s="12" t="s">
        <v>161</v>
      </c>
      <c r="C49" s="12" t="str">
        <f>_xlfn.DISPIMG("ID_5C3509BB6BB541F28A3C9480E6432244",1)</f>
        <v>=DISPIMG("ID_5C3509BB6BB541F28A3C9480E6432244",1)</v>
      </c>
      <c r="D49" s="13" t="s">
        <v>128</v>
      </c>
      <c r="E49" s="12" t="s">
        <v>162</v>
      </c>
      <c r="F49" s="14" t="s">
        <v>60</v>
      </c>
      <c r="G49" s="15">
        <v>1</v>
      </c>
      <c r="H49" s="15">
        <f t="shared" si="0"/>
        <v>501.67</v>
      </c>
      <c r="I49" s="15">
        <f t="shared" si="1"/>
        <v>501.67</v>
      </c>
      <c r="J49" s="12"/>
      <c r="L49" s="5">
        <v>420</v>
      </c>
      <c r="M49" s="5">
        <v>580</v>
      </c>
      <c r="N49" s="5">
        <v>505</v>
      </c>
      <c r="O49" s="28">
        <f t="shared" si="2"/>
        <v>501.67</v>
      </c>
      <c r="P49" s="28" t="e">
        <f>#REF!*O49</f>
        <v>#REF!</v>
      </c>
    </row>
    <row r="50" ht="204" customHeight="1" outlineLevel="1" spans="1:16">
      <c r="A50" s="12">
        <v>46</v>
      </c>
      <c r="B50" s="12" t="s">
        <v>189</v>
      </c>
      <c r="C50" s="12" t="str">
        <f>_xlfn.DISPIMG("ID_2EB073AE34754B7388C2696368E4CC9A",1)</f>
        <v>=DISPIMG("ID_2EB073AE34754B7388C2696368E4CC9A",1)</v>
      </c>
      <c r="D50" s="13" t="s">
        <v>125</v>
      </c>
      <c r="E50" s="12" t="s">
        <v>190</v>
      </c>
      <c r="F50" s="14" t="s">
        <v>60</v>
      </c>
      <c r="G50" s="15">
        <v>1</v>
      </c>
      <c r="H50" s="15">
        <f t="shared" si="0"/>
        <v>1853.33</v>
      </c>
      <c r="I50" s="15">
        <f t="shared" si="1"/>
        <v>1853.33</v>
      </c>
      <c r="J50" s="12"/>
      <c r="L50" s="5">
        <v>1890</v>
      </c>
      <c r="M50" s="5">
        <v>1720</v>
      </c>
      <c r="N50" s="5">
        <v>1950</v>
      </c>
      <c r="O50" s="28">
        <f t="shared" si="2"/>
        <v>1853.33</v>
      </c>
      <c r="P50" s="28" t="e">
        <f>#REF!*O50</f>
        <v>#REF!</v>
      </c>
    </row>
    <row r="51" ht="80" customHeight="1" outlineLevel="1" spans="1:16">
      <c r="A51" s="12">
        <v>47</v>
      </c>
      <c r="B51" s="12" t="s">
        <v>191</v>
      </c>
      <c r="C51" s="12" t="str">
        <f>_xlfn.DISPIMG("ID_EC9D12B7CED34D6791526AEA3A5B3EF0",1)</f>
        <v>=DISPIMG("ID_EC9D12B7CED34D6791526AEA3A5B3EF0",1)</v>
      </c>
      <c r="D51" s="13" t="s">
        <v>192</v>
      </c>
      <c r="E51" s="12" t="s">
        <v>108</v>
      </c>
      <c r="F51" s="14" t="s">
        <v>116</v>
      </c>
      <c r="G51" s="15">
        <v>1</v>
      </c>
      <c r="H51" s="15">
        <f t="shared" si="0"/>
        <v>673.33</v>
      </c>
      <c r="I51" s="15">
        <f t="shared" si="1"/>
        <v>673.33</v>
      </c>
      <c r="J51" s="12"/>
      <c r="L51" s="5">
        <v>630</v>
      </c>
      <c r="M51" s="5">
        <v>590</v>
      </c>
      <c r="N51" s="5">
        <v>800</v>
      </c>
      <c r="O51" s="28">
        <f t="shared" si="2"/>
        <v>673.33</v>
      </c>
      <c r="P51" s="28" t="e">
        <f>#REF!*O51</f>
        <v>#REF!</v>
      </c>
    </row>
    <row r="52" ht="80" customHeight="1" outlineLevel="1" spans="1:16">
      <c r="A52" s="12">
        <v>48</v>
      </c>
      <c r="B52" s="12" t="s">
        <v>193</v>
      </c>
      <c r="C52" s="12" t="str">
        <f>_xlfn.DISPIMG("ID_87A86FE2E1664C89B54CF6428E606A97",1)</f>
        <v>=DISPIMG("ID_87A86FE2E1664C89B54CF6428E606A97",1)</v>
      </c>
      <c r="D52" s="21" t="s">
        <v>194</v>
      </c>
      <c r="E52" s="22" t="s">
        <v>195</v>
      </c>
      <c r="F52" s="14" t="s">
        <v>56</v>
      </c>
      <c r="G52" s="15">
        <v>100</v>
      </c>
      <c r="H52" s="15">
        <f t="shared" si="0"/>
        <v>55</v>
      </c>
      <c r="I52" s="15">
        <f t="shared" si="1"/>
        <v>5500</v>
      </c>
      <c r="J52" s="12"/>
      <c r="L52" s="5">
        <v>48</v>
      </c>
      <c r="M52" s="5">
        <v>54</v>
      </c>
      <c r="N52" s="30">
        <v>63</v>
      </c>
      <c r="O52" s="28">
        <f t="shared" si="2"/>
        <v>55</v>
      </c>
      <c r="P52" s="28" t="e">
        <f>#REF!*O52</f>
        <v>#REF!</v>
      </c>
    </row>
    <row r="53" ht="80" customHeight="1" outlineLevel="1" spans="1:16">
      <c r="A53" s="12">
        <v>49</v>
      </c>
      <c r="B53" s="12" t="s">
        <v>196</v>
      </c>
      <c r="C53" s="12" t="str">
        <f>_xlfn.DISPIMG("ID_3C49630ED81F49FAB4E613B4E9C29F8A",1)</f>
        <v>=DISPIMG("ID_3C49630ED81F49FAB4E613B4E9C29F8A",1)</v>
      </c>
      <c r="D53" s="21" t="s">
        <v>194</v>
      </c>
      <c r="E53" s="22">
        <v>400</v>
      </c>
      <c r="F53" s="14" t="s">
        <v>56</v>
      </c>
      <c r="G53" s="15">
        <v>100</v>
      </c>
      <c r="H53" s="15">
        <f t="shared" si="0"/>
        <v>125</v>
      </c>
      <c r="I53" s="15">
        <f t="shared" si="1"/>
        <v>12500</v>
      </c>
      <c r="J53" s="12"/>
      <c r="L53" s="5">
        <v>137</v>
      </c>
      <c r="M53" s="5">
        <v>129</v>
      </c>
      <c r="N53" s="30">
        <v>109</v>
      </c>
      <c r="O53" s="28">
        <f t="shared" si="2"/>
        <v>125</v>
      </c>
      <c r="P53" s="28" t="e">
        <f>#REF!*O53</f>
        <v>#REF!</v>
      </c>
    </row>
    <row r="54" ht="80" customHeight="1" outlineLevel="1" spans="1:16">
      <c r="A54" s="12">
        <v>50</v>
      </c>
      <c r="B54" s="12" t="s">
        <v>197</v>
      </c>
      <c r="C54" s="12" t="str">
        <f>_xlfn.DISPIMG("ID_29035D962DD14331BF3F91FDA7A9E3CF",1)</f>
        <v>=DISPIMG("ID_29035D962DD14331BF3F91FDA7A9E3CF",1)</v>
      </c>
      <c r="D54" s="21" t="s">
        <v>194</v>
      </c>
      <c r="E54" s="22" t="s">
        <v>198</v>
      </c>
      <c r="F54" s="14" t="s">
        <v>56</v>
      </c>
      <c r="G54" s="15">
        <v>100</v>
      </c>
      <c r="H54" s="15">
        <f t="shared" si="0"/>
        <v>30</v>
      </c>
      <c r="I54" s="15">
        <f t="shared" si="1"/>
        <v>3000</v>
      </c>
      <c r="J54" s="12"/>
      <c r="L54" s="5">
        <v>30</v>
      </c>
      <c r="M54" s="5">
        <v>30</v>
      </c>
      <c r="N54" s="30">
        <v>30</v>
      </c>
      <c r="O54" s="28">
        <f t="shared" si="2"/>
        <v>30</v>
      </c>
      <c r="P54" s="28" t="e">
        <f>#REF!*O54</f>
        <v>#REF!</v>
      </c>
    </row>
    <row r="55" s="4" customFormat="1" ht="80" customHeight="1" outlineLevel="1" spans="1:16">
      <c r="A55" s="12">
        <v>51</v>
      </c>
      <c r="B55" s="12" t="s">
        <v>199</v>
      </c>
      <c r="C55" s="12" t="str">
        <f>_xlfn.DISPIMG("ID_40862D7C48384E7DBE5AED7CBEF46DB5",1)</f>
        <v>=DISPIMG("ID_40862D7C48384E7DBE5AED7CBEF46DB5",1)</v>
      </c>
      <c r="D55" s="13" t="s">
        <v>200</v>
      </c>
      <c r="E55" s="23" t="s">
        <v>201</v>
      </c>
      <c r="F55" s="14" t="s">
        <v>56</v>
      </c>
      <c r="G55" s="15">
        <v>100</v>
      </c>
      <c r="H55" s="15">
        <f t="shared" si="0"/>
        <v>86</v>
      </c>
      <c r="I55" s="15">
        <f t="shared" si="1"/>
        <v>8600</v>
      </c>
      <c r="J55" s="29"/>
      <c r="K55" s="3"/>
      <c r="L55" s="5">
        <v>89</v>
      </c>
      <c r="M55" s="5">
        <v>60</v>
      </c>
      <c r="N55" s="5">
        <v>109</v>
      </c>
      <c r="O55" s="28">
        <f t="shared" si="2"/>
        <v>86</v>
      </c>
      <c r="P55" s="28" t="e">
        <f>#REF!*O55</f>
        <v>#REF!</v>
      </c>
    </row>
    <row r="56" s="4" customFormat="1" ht="80" customHeight="1" outlineLevel="1" spans="1:16">
      <c r="A56" s="12">
        <v>52</v>
      </c>
      <c r="B56" s="12" t="s">
        <v>202</v>
      </c>
      <c r="C56" s="12" t="str">
        <f>_xlfn.DISPIMG("ID_158AB92A1CE24123A37B2CC091D3AD46",1)</f>
        <v>=DISPIMG("ID_158AB92A1CE24123A37B2CC091D3AD46",1)</v>
      </c>
      <c r="D56" s="13" t="s">
        <v>200</v>
      </c>
      <c r="E56" s="12" t="s">
        <v>203</v>
      </c>
      <c r="F56" s="14" t="s">
        <v>56</v>
      </c>
      <c r="G56" s="15">
        <v>100</v>
      </c>
      <c r="H56" s="15">
        <f t="shared" si="0"/>
        <v>133</v>
      </c>
      <c r="I56" s="15">
        <f t="shared" si="1"/>
        <v>13300</v>
      </c>
      <c r="J56" s="29"/>
      <c r="K56" s="3"/>
      <c r="L56" s="5">
        <v>110</v>
      </c>
      <c r="M56" s="5">
        <v>150</v>
      </c>
      <c r="N56" s="5">
        <v>139</v>
      </c>
      <c r="O56" s="28">
        <f t="shared" si="2"/>
        <v>133</v>
      </c>
      <c r="P56" s="28" t="e">
        <f>#REF!*O56</f>
        <v>#REF!</v>
      </c>
    </row>
    <row r="57" s="4" customFormat="1" ht="80" customHeight="1" outlineLevel="1" spans="1:16">
      <c r="A57" s="12">
        <v>53</v>
      </c>
      <c r="B57" s="12" t="s">
        <v>204</v>
      </c>
      <c r="C57" s="12" t="str">
        <f>_xlfn.DISPIMG("ID_CD3511D5F0BC4B90AF005004F6119DB7",1)</f>
        <v>=DISPIMG("ID_CD3511D5F0BC4B90AF005004F6119DB7",1)</v>
      </c>
      <c r="D57" s="13" t="s">
        <v>200</v>
      </c>
      <c r="E57" s="12" t="s">
        <v>205</v>
      </c>
      <c r="F57" s="14" t="s">
        <v>56</v>
      </c>
      <c r="G57" s="15">
        <v>100</v>
      </c>
      <c r="H57" s="15">
        <f t="shared" si="0"/>
        <v>54.33</v>
      </c>
      <c r="I57" s="15">
        <f t="shared" si="1"/>
        <v>5433</v>
      </c>
      <c r="J57" s="29"/>
      <c r="K57" s="3"/>
      <c r="L57" s="5">
        <v>40</v>
      </c>
      <c r="M57" s="5">
        <v>55</v>
      </c>
      <c r="N57" s="5">
        <v>68</v>
      </c>
      <c r="O57" s="28">
        <f t="shared" si="2"/>
        <v>54.33</v>
      </c>
      <c r="P57" s="28" t="e">
        <f>#REF!*O57</f>
        <v>#REF!</v>
      </c>
    </row>
    <row r="58" s="4" customFormat="1" ht="80" customHeight="1" outlineLevel="1" spans="1:16">
      <c r="A58" s="12">
        <v>54</v>
      </c>
      <c r="B58" s="12" t="s">
        <v>206</v>
      </c>
      <c r="C58" s="12" t="str">
        <f>_xlfn.DISPIMG("ID_502F31AFA9994B979F732A08CB9269BD",1)</f>
        <v>=DISPIMG("ID_502F31AFA9994B979F732A08CB9269BD",1)</v>
      </c>
      <c r="D58" s="13" t="s">
        <v>207</v>
      </c>
      <c r="E58" s="12" t="s">
        <v>208</v>
      </c>
      <c r="F58" s="14" t="s">
        <v>60</v>
      </c>
      <c r="G58" s="15">
        <v>100</v>
      </c>
      <c r="H58" s="15">
        <f t="shared" si="0"/>
        <v>240</v>
      </c>
      <c r="I58" s="15">
        <f t="shared" si="1"/>
        <v>24000</v>
      </c>
      <c r="J58" s="29"/>
      <c r="K58" s="3"/>
      <c r="L58" s="5">
        <v>240</v>
      </c>
      <c r="M58" s="5">
        <v>280</v>
      </c>
      <c r="N58" s="5">
        <v>200</v>
      </c>
      <c r="O58" s="28">
        <f t="shared" si="2"/>
        <v>240</v>
      </c>
      <c r="P58" s="28" t="e">
        <f>#REF!*O58</f>
        <v>#REF!</v>
      </c>
    </row>
    <row r="59" s="1" customFormat="1" ht="43" customHeight="1" spans="1:16">
      <c r="A59" s="8" t="s">
        <v>209</v>
      </c>
      <c r="B59" s="8" t="s">
        <v>210</v>
      </c>
      <c r="C59" s="8"/>
      <c r="D59" s="8"/>
      <c r="E59" s="8"/>
      <c r="F59" s="24"/>
      <c r="G59" s="10"/>
      <c r="H59" s="10"/>
      <c r="I59" s="10">
        <f>SUM(I60:I62)</f>
        <v>126672.66</v>
      </c>
      <c r="J59" s="26"/>
      <c r="L59" s="27"/>
      <c r="M59" s="27"/>
      <c r="N59" s="27"/>
      <c r="O59" s="27"/>
      <c r="P59" s="27"/>
    </row>
    <row r="60" s="2" customFormat="1" ht="80" customHeight="1" outlineLevel="1" spans="1:16">
      <c r="A60" s="12">
        <v>1</v>
      </c>
      <c r="B60" s="12" t="s">
        <v>211</v>
      </c>
      <c r="C60" s="12"/>
      <c r="D60" s="12" t="s">
        <v>212</v>
      </c>
      <c r="E60" s="12"/>
      <c r="F60" s="12" t="s">
        <v>180</v>
      </c>
      <c r="G60" s="15">
        <v>106</v>
      </c>
      <c r="H60" s="15">
        <f t="shared" ref="H60:H62" si="3">O60</f>
        <v>1119</v>
      </c>
      <c r="I60" s="15">
        <f t="shared" ref="I60:I62" si="4">ROUND(G60*H60,2)</f>
        <v>118614</v>
      </c>
      <c r="J60" s="12"/>
      <c r="L60" s="31">
        <v>1099</v>
      </c>
      <c r="M60" s="31">
        <v>969</v>
      </c>
      <c r="N60" s="31">
        <v>1289</v>
      </c>
      <c r="O60" s="28">
        <f t="shared" ref="O60:O62" si="5">ROUND((L60+M60+N60)/3,2)</f>
        <v>1119</v>
      </c>
      <c r="P60" s="28" t="e">
        <f>#REF!*O60</f>
        <v>#REF!</v>
      </c>
    </row>
    <row r="61" s="2" customFormat="1" ht="80" customHeight="1" outlineLevel="1" spans="1:16">
      <c r="A61" s="12">
        <v>2</v>
      </c>
      <c r="B61" s="12" t="s">
        <v>213</v>
      </c>
      <c r="C61" s="12"/>
      <c r="D61" s="12" t="s">
        <v>214</v>
      </c>
      <c r="E61" s="12"/>
      <c r="F61" s="12" t="s">
        <v>180</v>
      </c>
      <c r="G61" s="15">
        <v>3</v>
      </c>
      <c r="H61" s="15">
        <f t="shared" si="3"/>
        <v>1476.33</v>
      </c>
      <c r="I61" s="15">
        <f t="shared" si="4"/>
        <v>4428.99</v>
      </c>
      <c r="J61" s="12"/>
      <c r="L61" s="31">
        <v>1550</v>
      </c>
      <c r="M61" s="31">
        <v>1499</v>
      </c>
      <c r="N61" s="31">
        <v>1380</v>
      </c>
      <c r="O61" s="28">
        <f t="shared" si="5"/>
        <v>1476.33</v>
      </c>
      <c r="P61" s="28" t="e">
        <f>#REF!*O61</f>
        <v>#REF!</v>
      </c>
    </row>
    <row r="62" s="2" customFormat="1" ht="80" customHeight="1" outlineLevel="1" spans="1:16">
      <c r="A62" s="12">
        <v>3</v>
      </c>
      <c r="B62" s="12" t="s">
        <v>215</v>
      </c>
      <c r="C62" s="12"/>
      <c r="D62" s="12" t="s">
        <v>216</v>
      </c>
      <c r="E62" s="12"/>
      <c r="F62" s="12" t="s">
        <v>180</v>
      </c>
      <c r="G62" s="15">
        <v>1</v>
      </c>
      <c r="H62" s="15">
        <f t="shared" si="3"/>
        <v>3629.67</v>
      </c>
      <c r="I62" s="15">
        <f t="shared" si="4"/>
        <v>3629.67</v>
      </c>
      <c r="J62" s="12"/>
      <c r="L62" s="31">
        <v>3590</v>
      </c>
      <c r="M62" s="31">
        <v>4000</v>
      </c>
      <c r="N62" s="31">
        <v>3299</v>
      </c>
      <c r="O62" s="28">
        <f t="shared" si="5"/>
        <v>3629.67</v>
      </c>
      <c r="P62" s="28" t="e">
        <f>#REF!*O62</f>
        <v>#REF!</v>
      </c>
    </row>
    <row r="63" s="1" customFormat="1" ht="43" customHeight="1" spans="1:16">
      <c r="A63" s="8" t="s">
        <v>217</v>
      </c>
      <c r="B63" s="8" t="s">
        <v>218</v>
      </c>
      <c r="C63" s="8"/>
      <c r="D63" s="8"/>
      <c r="E63" s="8"/>
      <c r="F63" s="24"/>
      <c r="G63" s="10"/>
      <c r="H63" s="10"/>
      <c r="I63" s="10">
        <f>SUM(I64:I126)</f>
        <v>163675.66</v>
      </c>
      <c r="J63" s="26"/>
      <c r="K63" s="1" t="e">
        <f>#REF!-#REF!-#REF!</f>
        <v>#REF!</v>
      </c>
      <c r="L63" s="27"/>
      <c r="M63" s="27"/>
      <c r="N63" s="27"/>
      <c r="O63" s="28"/>
      <c r="P63" s="28"/>
    </row>
    <row r="64" ht="80" customHeight="1" outlineLevel="1" spans="1:16">
      <c r="A64" s="12">
        <v>1</v>
      </c>
      <c r="B64" s="12"/>
      <c r="C64" s="12"/>
      <c r="D64" s="12"/>
      <c r="E64" s="12"/>
      <c r="F64" s="14"/>
      <c r="G64" s="15"/>
      <c r="H64" s="15"/>
      <c r="I64" s="15"/>
      <c r="J64" s="12"/>
      <c r="O64" s="28">
        <f t="shared" ref="O64:O126" si="6">ROUND((L64+M64+N64)/3,2)</f>
        <v>0</v>
      </c>
      <c r="P64" s="28" t="e">
        <f>#REF!*O64</f>
        <v>#REF!</v>
      </c>
    </row>
    <row r="65" ht="80" customHeight="1" outlineLevel="1" spans="1:16">
      <c r="A65" s="12">
        <v>1.1</v>
      </c>
      <c r="B65" s="12" t="s">
        <v>219</v>
      </c>
      <c r="C65" s="12" t="str">
        <f>_xlfn.DISPIMG("ID_41D65F7B721446E98CC1E835F92ED866",1)</f>
        <v>=DISPIMG("ID_41D65F7B721446E98CC1E835F92ED866",1)</v>
      </c>
      <c r="D65" s="12" t="s">
        <v>220</v>
      </c>
      <c r="E65" s="12" t="s">
        <v>221</v>
      </c>
      <c r="F65" s="12" t="s">
        <v>180</v>
      </c>
      <c r="G65" s="15">
        <v>3</v>
      </c>
      <c r="H65" s="15">
        <f t="shared" ref="H65:H67" si="7">O65</f>
        <v>676.67</v>
      </c>
      <c r="I65" s="15">
        <f t="shared" ref="I65:I67" si="8">ROUND(G65*H65,2)</f>
        <v>2030.01</v>
      </c>
      <c r="J65" s="12"/>
      <c r="L65" s="5">
        <v>680</v>
      </c>
      <c r="M65" s="5">
        <v>650</v>
      </c>
      <c r="N65" s="5">
        <v>700</v>
      </c>
      <c r="O65" s="28">
        <f t="shared" si="6"/>
        <v>676.67</v>
      </c>
      <c r="P65" s="28" t="e">
        <f>#REF!*O65</f>
        <v>#REF!</v>
      </c>
    </row>
    <row r="66" s="2" customFormat="1" ht="80" customHeight="1" outlineLevel="1" spans="1:16">
      <c r="A66" s="12">
        <v>1.2</v>
      </c>
      <c r="B66" s="12" t="s">
        <v>222</v>
      </c>
      <c r="C66" s="12" t="str">
        <f>_xlfn.DISPIMG("ID_2D00644662FE4E3191BD67FFDDAD4A8D",1)</f>
        <v>=DISPIMG("ID_2D00644662FE4E3191BD67FFDDAD4A8D",1)</v>
      </c>
      <c r="D66" s="12" t="s">
        <v>223</v>
      </c>
      <c r="E66" s="12" t="s">
        <v>224</v>
      </c>
      <c r="F66" s="12" t="s">
        <v>180</v>
      </c>
      <c r="G66" s="15">
        <v>1</v>
      </c>
      <c r="H66" s="15">
        <f t="shared" si="7"/>
        <v>910</v>
      </c>
      <c r="I66" s="15">
        <f t="shared" si="8"/>
        <v>910</v>
      </c>
      <c r="J66" s="12"/>
      <c r="L66" s="5">
        <v>880</v>
      </c>
      <c r="M66" s="5">
        <v>860</v>
      </c>
      <c r="N66" s="5">
        <v>990</v>
      </c>
      <c r="O66" s="28">
        <f t="shared" si="6"/>
        <v>910</v>
      </c>
      <c r="P66" s="28" t="e">
        <f>#REF!*O66</f>
        <v>#REF!</v>
      </c>
    </row>
    <row r="67" s="2" customFormat="1" ht="80" customHeight="1" outlineLevel="1" spans="1:16">
      <c r="A67" s="12">
        <v>1.3</v>
      </c>
      <c r="B67" s="12" t="s">
        <v>225</v>
      </c>
      <c r="C67" s="12" t="str">
        <f>_xlfn.DISPIMG("ID_95A28264DACD4904B66B614D3C71997E",1)</f>
        <v>=DISPIMG("ID_95A28264DACD4904B66B614D3C71997E",1)</v>
      </c>
      <c r="D67" s="12" t="s">
        <v>226</v>
      </c>
      <c r="E67" s="12" t="s">
        <v>227</v>
      </c>
      <c r="F67" s="12" t="s">
        <v>180</v>
      </c>
      <c r="G67" s="15">
        <v>1</v>
      </c>
      <c r="H67" s="15">
        <f t="shared" si="7"/>
        <v>202.67</v>
      </c>
      <c r="I67" s="15">
        <f t="shared" si="8"/>
        <v>202.67</v>
      </c>
      <c r="J67" s="12"/>
      <c r="L67" s="5">
        <v>178</v>
      </c>
      <c r="M67" s="5">
        <v>210</v>
      </c>
      <c r="N67" s="5">
        <v>220</v>
      </c>
      <c r="O67" s="28">
        <f t="shared" si="6"/>
        <v>202.67</v>
      </c>
      <c r="P67" s="28" t="e">
        <f>#REF!*O67</f>
        <v>#REF!</v>
      </c>
    </row>
    <row r="68" s="2" customFormat="1" ht="80" customHeight="1" outlineLevel="1" spans="1:16">
      <c r="A68" s="12">
        <v>2</v>
      </c>
      <c r="B68" s="12"/>
      <c r="C68" s="12"/>
      <c r="D68" s="12"/>
      <c r="E68" s="12"/>
      <c r="F68" s="12"/>
      <c r="G68" s="15"/>
      <c r="H68" s="15"/>
      <c r="I68" s="15"/>
      <c r="J68" s="12"/>
      <c r="L68" s="5"/>
      <c r="M68" s="5"/>
      <c r="N68" s="5"/>
      <c r="O68" s="28">
        <f t="shared" si="6"/>
        <v>0</v>
      </c>
      <c r="P68" s="28" t="e">
        <f>#REF!*O68</f>
        <v>#REF!</v>
      </c>
    </row>
    <row r="69" s="2" customFormat="1" ht="80" customHeight="1" outlineLevel="1" spans="1:16">
      <c r="A69" s="12">
        <v>2.1</v>
      </c>
      <c r="B69" s="12" t="s">
        <v>228</v>
      </c>
      <c r="C69" s="12" t="str">
        <f>_xlfn.DISPIMG("ID_B92A1BB12F0B4971B0B4E3AB546D12F5",1)</f>
        <v>=DISPIMG("ID_B92A1BB12F0B4971B0B4E3AB546D12F5",1)</v>
      </c>
      <c r="D69" s="12" t="s">
        <v>229</v>
      </c>
      <c r="E69" s="12" t="s">
        <v>230</v>
      </c>
      <c r="F69" s="12" t="s">
        <v>180</v>
      </c>
      <c r="G69" s="15">
        <v>2</v>
      </c>
      <c r="H69" s="15">
        <f t="shared" ref="H69:H77" si="9">O69</f>
        <v>1010</v>
      </c>
      <c r="I69" s="15">
        <f t="shared" ref="I69:I77" si="10">ROUND(G69*H69,2)</f>
        <v>2020</v>
      </c>
      <c r="J69" s="12"/>
      <c r="L69" s="5">
        <v>900</v>
      </c>
      <c r="M69" s="5">
        <v>950</v>
      </c>
      <c r="N69" s="5">
        <v>1180</v>
      </c>
      <c r="O69" s="28">
        <f t="shared" si="6"/>
        <v>1010</v>
      </c>
      <c r="P69" s="28" t="e">
        <f>#REF!*O69</f>
        <v>#REF!</v>
      </c>
    </row>
    <row r="70" ht="80" customHeight="1" outlineLevel="1" spans="1:16">
      <c r="A70" s="12">
        <v>2.2</v>
      </c>
      <c r="B70" s="12" t="s">
        <v>225</v>
      </c>
      <c r="C70" s="12" t="str">
        <f>_xlfn.DISPIMG("ID_6413E65AA6DA4B04BEC440037EC15F2C",1)</f>
        <v>=DISPIMG("ID_6413E65AA6DA4B04BEC440037EC15F2C",1)</v>
      </c>
      <c r="D70" s="12" t="s">
        <v>226</v>
      </c>
      <c r="E70" s="12" t="s">
        <v>231</v>
      </c>
      <c r="F70" s="12" t="s">
        <v>180</v>
      </c>
      <c r="G70" s="15">
        <v>1</v>
      </c>
      <c r="H70" s="15">
        <f t="shared" si="9"/>
        <v>221.33</v>
      </c>
      <c r="I70" s="15">
        <f t="shared" si="10"/>
        <v>221.33</v>
      </c>
      <c r="J70" s="12"/>
      <c r="L70" s="5">
        <v>199</v>
      </c>
      <c r="M70" s="5">
        <v>220</v>
      </c>
      <c r="N70" s="5">
        <v>245</v>
      </c>
      <c r="O70" s="28">
        <f t="shared" si="6"/>
        <v>221.33</v>
      </c>
      <c r="P70" s="28" t="e">
        <f>#REF!*O70</f>
        <v>#REF!</v>
      </c>
    </row>
    <row r="71" ht="80" customHeight="1" outlineLevel="1" spans="1:16">
      <c r="A71" s="12">
        <v>3</v>
      </c>
      <c r="B71" s="12"/>
      <c r="C71" s="12"/>
      <c r="D71" s="12"/>
      <c r="E71" s="12"/>
      <c r="F71" s="12"/>
      <c r="G71" s="15"/>
      <c r="H71" s="15"/>
      <c r="I71" s="15"/>
      <c r="J71" s="12"/>
      <c r="O71" s="28">
        <f t="shared" si="6"/>
        <v>0</v>
      </c>
      <c r="P71" s="28" t="e">
        <f>#REF!*O71</f>
        <v>#REF!</v>
      </c>
    </row>
    <row r="72" s="2" customFormat="1" ht="80" customHeight="1" outlineLevel="1" spans="1:16">
      <c r="A72" s="12">
        <v>3.1</v>
      </c>
      <c r="B72" s="12" t="s">
        <v>228</v>
      </c>
      <c r="C72" s="12" t="str">
        <f>_xlfn.DISPIMG("ID_8312B291C9CC4B23883221B23ED7DEC2",1)</f>
        <v>=DISPIMG("ID_8312B291C9CC4B23883221B23ED7DEC2",1)</v>
      </c>
      <c r="D72" s="12" t="s">
        <v>229</v>
      </c>
      <c r="E72" s="12" t="s">
        <v>230</v>
      </c>
      <c r="F72" s="12" t="s">
        <v>180</v>
      </c>
      <c r="G72" s="15">
        <v>2</v>
      </c>
      <c r="H72" s="15">
        <f t="shared" si="9"/>
        <v>1010</v>
      </c>
      <c r="I72" s="15">
        <f t="shared" si="10"/>
        <v>2020</v>
      </c>
      <c r="J72" s="12"/>
      <c r="L72" s="5">
        <v>900</v>
      </c>
      <c r="M72" s="5">
        <v>950</v>
      </c>
      <c r="N72" s="5">
        <v>1180</v>
      </c>
      <c r="O72" s="28">
        <f t="shared" si="6"/>
        <v>1010</v>
      </c>
      <c r="P72" s="28" t="e">
        <f>#REF!*O72</f>
        <v>#REF!</v>
      </c>
    </row>
    <row r="73" s="2" customFormat="1" ht="80" customHeight="1" outlineLevel="1" spans="1:16">
      <c r="A73" s="12">
        <v>3.2</v>
      </c>
      <c r="B73" s="12" t="s">
        <v>232</v>
      </c>
      <c r="C73" s="12" t="str">
        <f>_xlfn.DISPIMG("ID_78FC9B92CDDF40628C11AAA39D4EAACD",1)</f>
        <v>=DISPIMG("ID_78FC9B92CDDF40628C11AAA39D4EAACD",1)</v>
      </c>
      <c r="D73" s="12" t="s">
        <v>233</v>
      </c>
      <c r="E73" s="12" t="s">
        <v>234</v>
      </c>
      <c r="F73" s="12" t="s">
        <v>180</v>
      </c>
      <c r="G73" s="15">
        <v>2</v>
      </c>
      <c r="H73" s="15">
        <f t="shared" si="9"/>
        <v>1113.33</v>
      </c>
      <c r="I73" s="15">
        <f t="shared" si="10"/>
        <v>2226.66</v>
      </c>
      <c r="J73" s="12"/>
      <c r="L73" s="5">
        <v>1100</v>
      </c>
      <c r="M73" s="5">
        <v>980</v>
      </c>
      <c r="N73" s="5">
        <v>1260</v>
      </c>
      <c r="O73" s="28">
        <f t="shared" si="6"/>
        <v>1113.33</v>
      </c>
      <c r="P73" s="28" t="e">
        <f>#REF!*O73</f>
        <v>#REF!</v>
      </c>
    </row>
    <row r="74" s="2" customFormat="1" ht="80" customHeight="1" outlineLevel="1" spans="1:16">
      <c r="A74" s="12">
        <v>3.3</v>
      </c>
      <c r="B74" s="12" t="s">
        <v>235</v>
      </c>
      <c r="C74" s="12" t="str">
        <f>_xlfn.DISPIMG("ID_EFB1124DA72549729A76EA3E85D36C5C",1)</f>
        <v>=DISPIMG("ID_EFB1124DA72549729A76EA3E85D36C5C",1)</v>
      </c>
      <c r="D74" s="12" t="s">
        <v>236</v>
      </c>
      <c r="E74" s="12" t="s">
        <v>237</v>
      </c>
      <c r="F74" s="12" t="s">
        <v>180</v>
      </c>
      <c r="G74" s="15">
        <v>2</v>
      </c>
      <c r="H74" s="15">
        <f t="shared" si="9"/>
        <v>1523.33</v>
      </c>
      <c r="I74" s="15">
        <f t="shared" si="10"/>
        <v>3046.66</v>
      </c>
      <c r="J74" s="12"/>
      <c r="L74" s="5">
        <v>1560</v>
      </c>
      <c r="M74" s="5">
        <v>1410</v>
      </c>
      <c r="N74" s="5">
        <v>1600</v>
      </c>
      <c r="O74" s="28">
        <f t="shared" si="6"/>
        <v>1523.33</v>
      </c>
      <c r="P74" s="28" t="e">
        <f>#REF!*O74</f>
        <v>#REF!</v>
      </c>
    </row>
    <row r="75" s="2" customFormat="1" ht="80" customHeight="1" outlineLevel="1" spans="1:16">
      <c r="A75" s="12">
        <v>3.4</v>
      </c>
      <c r="B75" s="12" t="s">
        <v>238</v>
      </c>
      <c r="C75" s="12" t="str">
        <f>_xlfn.DISPIMG("ID_F710F43E34E34B3A9CDEFCB57AF4E5C8",1)</f>
        <v>=DISPIMG("ID_F710F43E34E34B3A9CDEFCB57AF4E5C8",1)</v>
      </c>
      <c r="D75" s="12" t="s">
        <v>239</v>
      </c>
      <c r="E75" s="12" t="s">
        <v>240</v>
      </c>
      <c r="F75" s="12" t="s">
        <v>180</v>
      </c>
      <c r="G75" s="15">
        <v>1</v>
      </c>
      <c r="H75" s="15">
        <f t="shared" si="9"/>
        <v>5426.67</v>
      </c>
      <c r="I75" s="15">
        <f t="shared" si="10"/>
        <v>5426.67</v>
      </c>
      <c r="J75" s="12"/>
      <c r="L75" s="5">
        <v>5380</v>
      </c>
      <c r="M75" s="5">
        <v>5600</v>
      </c>
      <c r="N75" s="5">
        <v>5300</v>
      </c>
      <c r="O75" s="28">
        <f t="shared" si="6"/>
        <v>5426.67</v>
      </c>
      <c r="P75" s="28" t="e">
        <f>#REF!*O75</f>
        <v>#REF!</v>
      </c>
    </row>
    <row r="76" s="2" customFormat="1" ht="80" customHeight="1" outlineLevel="1" spans="1:16">
      <c r="A76" s="12">
        <v>3.5</v>
      </c>
      <c r="B76" s="12" t="s">
        <v>241</v>
      </c>
      <c r="C76" s="12" t="str">
        <f>_xlfn.DISPIMG("ID_9E64994EAB304FC2A9C21D15DD5968EA",1)</f>
        <v>=DISPIMG("ID_9E64994EAB304FC2A9C21D15DD5968EA",1)</v>
      </c>
      <c r="D76" s="12" t="s">
        <v>242</v>
      </c>
      <c r="E76" s="12" t="s">
        <v>243</v>
      </c>
      <c r="F76" s="12" t="s">
        <v>180</v>
      </c>
      <c r="G76" s="15">
        <v>1</v>
      </c>
      <c r="H76" s="15">
        <f t="shared" si="9"/>
        <v>3033.33</v>
      </c>
      <c r="I76" s="15">
        <f t="shared" si="10"/>
        <v>3033.33</v>
      </c>
      <c r="J76" s="12"/>
      <c r="L76" s="5">
        <v>3600</v>
      </c>
      <c r="M76" s="5">
        <v>2500</v>
      </c>
      <c r="N76" s="5">
        <v>3000</v>
      </c>
      <c r="O76" s="28">
        <f t="shared" si="6"/>
        <v>3033.33</v>
      </c>
      <c r="P76" s="28" t="e">
        <f>#REF!*O76</f>
        <v>#REF!</v>
      </c>
    </row>
    <row r="77" ht="80" customHeight="1" outlineLevel="1" spans="1:16">
      <c r="A77" s="12">
        <v>3.6</v>
      </c>
      <c r="B77" s="12" t="s">
        <v>225</v>
      </c>
      <c r="C77" s="12" t="str">
        <f>_xlfn.DISPIMG("ID_48E8D53CBB26487EA3F1A4D7FF92FF1B",1)</f>
        <v>=DISPIMG("ID_48E8D53CBB26487EA3F1A4D7FF92FF1B",1)</v>
      </c>
      <c r="D77" s="12" t="s">
        <v>226</v>
      </c>
      <c r="E77" s="12" t="s">
        <v>244</v>
      </c>
      <c r="F77" s="12" t="s">
        <v>180</v>
      </c>
      <c r="G77" s="15">
        <v>1</v>
      </c>
      <c r="H77" s="15">
        <f t="shared" si="9"/>
        <v>131</v>
      </c>
      <c r="I77" s="15">
        <f t="shared" si="10"/>
        <v>131</v>
      </c>
      <c r="J77" s="12"/>
      <c r="L77" s="5">
        <v>135</v>
      </c>
      <c r="M77" s="5">
        <v>100</v>
      </c>
      <c r="N77" s="5">
        <v>158</v>
      </c>
      <c r="O77" s="28">
        <f t="shared" si="6"/>
        <v>131</v>
      </c>
      <c r="P77" s="28" t="e">
        <f>#REF!*O77</f>
        <v>#REF!</v>
      </c>
    </row>
    <row r="78" ht="80" customHeight="1" outlineLevel="1" spans="1:16">
      <c r="A78" s="12">
        <v>4</v>
      </c>
      <c r="B78" s="12"/>
      <c r="C78" s="12"/>
      <c r="D78" s="12"/>
      <c r="E78" s="12"/>
      <c r="F78" s="12"/>
      <c r="G78" s="15"/>
      <c r="H78" s="15"/>
      <c r="I78" s="15"/>
      <c r="J78" s="12"/>
      <c r="O78" s="28">
        <f t="shared" si="6"/>
        <v>0</v>
      </c>
      <c r="P78" s="28" t="e">
        <f>#REF!*O78</f>
        <v>#REF!</v>
      </c>
    </row>
    <row r="79" ht="80" customHeight="1" outlineLevel="1" spans="1:16">
      <c r="A79" s="12">
        <v>4.1</v>
      </c>
      <c r="B79" s="12" t="s">
        <v>245</v>
      </c>
      <c r="C79" s="12" t="str">
        <f>_xlfn.DISPIMG("ID_4FFB9EA05E37448A91F8679B6C899E04",1)</f>
        <v>=DISPIMG("ID_4FFB9EA05E37448A91F8679B6C899E04",1)</v>
      </c>
      <c r="D79" s="12" t="s">
        <v>246</v>
      </c>
      <c r="E79" s="12" t="s">
        <v>247</v>
      </c>
      <c r="F79" s="12" t="s">
        <v>180</v>
      </c>
      <c r="G79" s="15">
        <v>1</v>
      </c>
      <c r="H79" s="15">
        <f t="shared" ref="H79:H91" si="11">O79</f>
        <v>2466.67</v>
      </c>
      <c r="I79" s="15">
        <f t="shared" ref="I79:I91" si="12">ROUND(G79*H79,2)</f>
        <v>2466.67</v>
      </c>
      <c r="J79" s="12"/>
      <c r="L79" s="5">
        <v>2300</v>
      </c>
      <c r="M79" s="5">
        <v>2600</v>
      </c>
      <c r="N79" s="5">
        <v>2500</v>
      </c>
      <c r="O79" s="28">
        <f t="shared" si="6"/>
        <v>2466.67</v>
      </c>
      <c r="P79" s="28" t="e">
        <f>#REF!*O79</f>
        <v>#REF!</v>
      </c>
    </row>
    <row r="80" s="2" customFormat="1" ht="80" customHeight="1" outlineLevel="1" spans="1:16">
      <c r="A80" s="12">
        <v>4.2</v>
      </c>
      <c r="B80" s="12" t="s">
        <v>248</v>
      </c>
      <c r="C80" s="12" t="str">
        <f>_xlfn.DISPIMG("ID_3AA3E89DC0C240D7B6DB869E12BD3392",1)</f>
        <v>=DISPIMG("ID_3AA3E89DC0C240D7B6DB869E12BD3392",1)</v>
      </c>
      <c r="D80" s="12" t="s">
        <v>249</v>
      </c>
      <c r="E80" s="12" t="s">
        <v>250</v>
      </c>
      <c r="F80" s="12" t="s">
        <v>180</v>
      </c>
      <c r="G80" s="15">
        <v>2</v>
      </c>
      <c r="H80" s="15">
        <f t="shared" si="11"/>
        <v>953.33</v>
      </c>
      <c r="I80" s="15">
        <f t="shared" si="12"/>
        <v>1906.66</v>
      </c>
      <c r="J80" s="12"/>
      <c r="L80" s="5">
        <v>980</v>
      </c>
      <c r="M80" s="5">
        <v>880</v>
      </c>
      <c r="N80" s="5">
        <v>1000</v>
      </c>
      <c r="O80" s="28">
        <f t="shared" si="6"/>
        <v>953.33</v>
      </c>
      <c r="P80" s="28" t="e">
        <f>#REF!*O80</f>
        <v>#REF!</v>
      </c>
    </row>
    <row r="81" ht="80" customHeight="1" outlineLevel="1" spans="1:16">
      <c r="A81" s="12">
        <v>4.3</v>
      </c>
      <c r="B81" s="12" t="s">
        <v>251</v>
      </c>
      <c r="C81" s="12" t="str">
        <f>_xlfn.DISPIMG("ID_DD9ABF354BDA4AA7A8927B666F955A2F",1)</f>
        <v>=DISPIMG("ID_DD9ABF354BDA4AA7A8927B666F955A2F",1)</v>
      </c>
      <c r="D81" s="12" t="s">
        <v>252</v>
      </c>
      <c r="E81" s="12" t="s">
        <v>253</v>
      </c>
      <c r="F81" s="12" t="s">
        <v>180</v>
      </c>
      <c r="G81" s="15">
        <v>1</v>
      </c>
      <c r="H81" s="15">
        <f t="shared" si="11"/>
        <v>5600</v>
      </c>
      <c r="I81" s="15">
        <f t="shared" si="12"/>
        <v>5600</v>
      </c>
      <c r="J81" s="12"/>
      <c r="L81" s="5">
        <v>5600</v>
      </c>
      <c r="M81" s="5">
        <v>5800</v>
      </c>
      <c r="N81" s="5">
        <v>5400</v>
      </c>
      <c r="O81" s="28">
        <f t="shared" si="6"/>
        <v>5600</v>
      </c>
      <c r="P81" s="28" t="e">
        <f>#REF!*O81</f>
        <v>#REF!</v>
      </c>
    </row>
    <row r="82" s="2" customFormat="1" ht="80" customHeight="1" outlineLevel="1" spans="1:16">
      <c r="A82" s="12">
        <v>4.4</v>
      </c>
      <c r="B82" s="12" t="s">
        <v>254</v>
      </c>
      <c r="C82" s="12" t="str">
        <f>_xlfn.DISPIMG("ID_75F85B15B08B4E59882C8D452D56FDD6",1)</f>
        <v>=DISPIMG("ID_75F85B15B08B4E59882C8D452D56FDD6",1)</v>
      </c>
      <c r="D82" s="12" t="s">
        <v>255</v>
      </c>
      <c r="E82" s="12" t="s">
        <v>256</v>
      </c>
      <c r="F82" s="12" t="s">
        <v>180</v>
      </c>
      <c r="G82" s="15">
        <v>1</v>
      </c>
      <c r="H82" s="15">
        <f t="shared" si="11"/>
        <v>5100</v>
      </c>
      <c r="I82" s="15">
        <f t="shared" si="12"/>
        <v>5100</v>
      </c>
      <c r="J82" s="12"/>
      <c r="L82" s="5">
        <v>5000</v>
      </c>
      <c r="M82" s="5">
        <v>5200</v>
      </c>
      <c r="N82" s="5">
        <v>5100</v>
      </c>
      <c r="O82" s="28">
        <f t="shared" si="6"/>
        <v>5100</v>
      </c>
      <c r="P82" s="28" t="e">
        <f>#REF!*O82</f>
        <v>#REF!</v>
      </c>
    </row>
    <row r="83" ht="80" customHeight="1" outlineLevel="1" spans="1:16">
      <c r="A83" s="12">
        <v>4.5</v>
      </c>
      <c r="B83" s="12" t="s">
        <v>257</v>
      </c>
      <c r="C83" s="12" t="str">
        <f>_xlfn.DISPIMG("ID_509F5746262048F580EFD34E5750018A",1)</f>
        <v>=DISPIMG("ID_509F5746262048F580EFD34E5750018A",1)</v>
      </c>
      <c r="D83" s="12" t="s">
        <v>258</v>
      </c>
      <c r="E83" s="12"/>
      <c r="F83" s="12" t="s">
        <v>180</v>
      </c>
      <c r="G83" s="15">
        <v>1</v>
      </c>
      <c r="H83" s="15">
        <f t="shared" si="11"/>
        <v>560</v>
      </c>
      <c r="I83" s="15">
        <f t="shared" si="12"/>
        <v>560</v>
      </c>
      <c r="J83" s="12"/>
      <c r="L83" s="5">
        <v>500</v>
      </c>
      <c r="M83" s="5">
        <v>600</v>
      </c>
      <c r="N83" s="5">
        <v>580</v>
      </c>
      <c r="O83" s="28">
        <f t="shared" si="6"/>
        <v>560</v>
      </c>
      <c r="P83" s="28" t="e">
        <f>#REF!*O83</f>
        <v>#REF!</v>
      </c>
    </row>
    <row r="84" ht="80" customHeight="1" outlineLevel="1" spans="1:16">
      <c r="A84" s="12">
        <v>4.6</v>
      </c>
      <c r="B84" s="12" t="s">
        <v>259</v>
      </c>
      <c r="C84" s="12" t="str">
        <f>_xlfn.DISPIMG("ID_258C014E46A744E8BC65DB46C499F8E8",1)</f>
        <v>=DISPIMG("ID_258C014E46A744E8BC65DB46C499F8E8",1)</v>
      </c>
      <c r="D84" s="12" t="s">
        <v>260</v>
      </c>
      <c r="E84" s="12" t="s">
        <v>261</v>
      </c>
      <c r="F84" s="12" t="s">
        <v>180</v>
      </c>
      <c r="G84" s="15">
        <v>1</v>
      </c>
      <c r="H84" s="15">
        <f t="shared" si="11"/>
        <v>4800</v>
      </c>
      <c r="I84" s="15">
        <f t="shared" si="12"/>
        <v>4800</v>
      </c>
      <c r="J84" s="12"/>
      <c r="L84" s="5">
        <v>5800</v>
      </c>
      <c r="M84" s="5">
        <v>3600</v>
      </c>
      <c r="N84" s="5">
        <v>5000</v>
      </c>
      <c r="O84" s="28">
        <f t="shared" si="6"/>
        <v>4800</v>
      </c>
      <c r="P84" s="28" t="e">
        <f>#REF!*O84</f>
        <v>#REF!</v>
      </c>
    </row>
    <row r="85" ht="80" customHeight="1" outlineLevel="1" spans="1:16">
      <c r="A85" s="12">
        <v>4.7</v>
      </c>
      <c r="B85" s="12" t="s">
        <v>235</v>
      </c>
      <c r="C85" s="12" t="str">
        <f>_xlfn.DISPIMG("ID_B29C14B0BCB543598DB68F73F1BB7DAC",1)</f>
        <v>=DISPIMG("ID_B29C14B0BCB543598DB68F73F1BB7DAC",1)</v>
      </c>
      <c r="D85" s="12" t="s">
        <v>236</v>
      </c>
      <c r="E85" s="12" t="s">
        <v>262</v>
      </c>
      <c r="F85" s="12" t="s">
        <v>180</v>
      </c>
      <c r="G85" s="15">
        <v>1</v>
      </c>
      <c r="H85" s="15">
        <f t="shared" si="11"/>
        <v>1263.33</v>
      </c>
      <c r="I85" s="15">
        <f t="shared" si="12"/>
        <v>1263.33</v>
      </c>
      <c r="J85" s="12"/>
      <c r="L85" s="5">
        <v>1200</v>
      </c>
      <c r="M85" s="5">
        <v>1210</v>
      </c>
      <c r="N85" s="5">
        <v>1380</v>
      </c>
      <c r="O85" s="28">
        <f t="shared" si="6"/>
        <v>1263.33</v>
      </c>
      <c r="P85" s="28" t="e">
        <f>#REF!*O85</f>
        <v>#REF!</v>
      </c>
    </row>
    <row r="86" s="2" customFormat="1" ht="80" customHeight="1" outlineLevel="1" spans="1:16">
      <c r="A86" s="12">
        <v>4.8</v>
      </c>
      <c r="B86" s="12" t="s">
        <v>263</v>
      </c>
      <c r="C86" s="12" t="str">
        <f>_xlfn.DISPIMG("ID_DEAF566EAC904B47895CE3AB123E883B",1)</f>
        <v>=DISPIMG("ID_DEAF566EAC904B47895CE3AB123E883B",1)</v>
      </c>
      <c r="D86" s="12" t="s">
        <v>264</v>
      </c>
      <c r="E86" s="12" t="s">
        <v>234</v>
      </c>
      <c r="F86" s="12" t="s">
        <v>180</v>
      </c>
      <c r="G86" s="15">
        <v>2</v>
      </c>
      <c r="H86" s="15">
        <f t="shared" si="11"/>
        <v>3100</v>
      </c>
      <c r="I86" s="15">
        <f t="shared" si="12"/>
        <v>6200</v>
      </c>
      <c r="J86" s="12"/>
      <c r="L86" s="5">
        <v>2900</v>
      </c>
      <c r="M86" s="5">
        <v>2600</v>
      </c>
      <c r="N86" s="5">
        <v>3800</v>
      </c>
      <c r="O86" s="28">
        <f t="shared" si="6"/>
        <v>3100</v>
      </c>
      <c r="P86" s="28" t="e">
        <f>#REF!*O86</f>
        <v>#REF!</v>
      </c>
    </row>
    <row r="87" ht="80" customHeight="1" outlineLevel="1" spans="1:16">
      <c r="A87" s="12">
        <v>4.9</v>
      </c>
      <c r="B87" s="12" t="s">
        <v>232</v>
      </c>
      <c r="C87" s="12" t="str">
        <f>_xlfn.DISPIMG("ID_E770D0408B4D47FD9FD0308182B49A5C",1)</f>
        <v>=DISPIMG("ID_E770D0408B4D47FD9FD0308182B49A5C",1)</v>
      </c>
      <c r="D87" s="12" t="s">
        <v>265</v>
      </c>
      <c r="E87" s="12" t="s">
        <v>234</v>
      </c>
      <c r="F87" s="12" t="s">
        <v>180</v>
      </c>
      <c r="G87" s="15">
        <v>2</v>
      </c>
      <c r="H87" s="15">
        <f t="shared" si="11"/>
        <v>1113.33</v>
      </c>
      <c r="I87" s="15">
        <f t="shared" si="12"/>
        <v>2226.66</v>
      </c>
      <c r="J87" s="12"/>
      <c r="L87" s="5">
        <v>1100</v>
      </c>
      <c r="M87" s="5">
        <v>980</v>
      </c>
      <c r="N87" s="5">
        <v>1260</v>
      </c>
      <c r="O87" s="28">
        <f t="shared" si="6"/>
        <v>1113.33</v>
      </c>
      <c r="P87" s="28" t="e">
        <f>#REF!*O87</f>
        <v>#REF!</v>
      </c>
    </row>
    <row r="88" ht="80" customHeight="1" outlineLevel="1" spans="1:16">
      <c r="A88" s="32">
        <v>4.1</v>
      </c>
      <c r="B88" s="12" t="s">
        <v>266</v>
      </c>
      <c r="C88" s="12" t="str">
        <f>_xlfn.DISPIMG("ID_E1E96428F3E04373B0E2743AE34612AC",1)</f>
        <v>=DISPIMG("ID_E1E96428F3E04373B0E2743AE34612AC",1)</v>
      </c>
      <c r="D88" s="12" t="s">
        <v>267</v>
      </c>
      <c r="E88" s="12" t="s">
        <v>268</v>
      </c>
      <c r="F88" s="12" t="s">
        <v>180</v>
      </c>
      <c r="G88" s="15">
        <v>1</v>
      </c>
      <c r="H88" s="15">
        <f t="shared" si="11"/>
        <v>1250</v>
      </c>
      <c r="I88" s="15">
        <f t="shared" si="12"/>
        <v>1250</v>
      </c>
      <c r="J88" s="12"/>
      <c r="L88" s="5">
        <v>1100</v>
      </c>
      <c r="M88" s="5">
        <v>1200</v>
      </c>
      <c r="N88" s="5">
        <v>1450</v>
      </c>
      <c r="O88" s="28">
        <f t="shared" si="6"/>
        <v>1250</v>
      </c>
      <c r="P88" s="28" t="e">
        <f>#REF!*O88</f>
        <v>#REF!</v>
      </c>
    </row>
    <row r="89" ht="80" customHeight="1" outlineLevel="1" spans="1:16">
      <c r="A89" s="12">
        <v>4.11</v>
      </c>
      <c r="B89" s="12" t="s">
        <v>269</v>
      </c>
      <c r="C89" s="12" t="str">
        <f>_xlfn.DISPIMG("ID_99D364964D9B48B496CFFB0A3079F5BF",1)</f>
        <v>=DISPIMG("ID_99D364964D9B48B496CFFB0A3079F5BF",1)</v>
      </c>
      <c r="D89" s="12" t="s">
        <v>270</v>
      </c>
      <c r="E89" s="12" t="s">
        <v>271</v>
      </c>
      <c r="F89" s="12" t="s">
        <v>180</v>
      </c>
      <c r="G89" s="15">
        <v>1</v>
      </c>
      <c r="H89" s="15">
        <f t="shared" si="11"/>
        <v>1100</v>
      </c>
      <c r="I89" s="15">
        <f t="shared" si="12"/>
        <v>1100</v>
      </c>
      <c r="J89" s="12"/>
      <c r="L89" s="5">
        <v>1000</v>
      </c>
      <c r="M89" s="5">
        <v>1200</v>
      </c>
      <c r="N89" s="5">
        <v>1100</v>
      </c>
      <c r="O89" s="28">
        <f t="shared" si="6"/>
        <v>1100</v>
      </c>
      <c r="P89" s="28" t="e">
        <f>#REF!*O89</f>
        <v>#REF!</v>
      </c>
    </row>
    <row r="90" s="2" customFormat="1" ht="80" customHeight="1" outlineLevel="1" spans="1:16">
      <c r="A90" s="32">
        <v>4.12</v>
      </c>
      <c r="B90" s="12" t="s">
        <v>238</v>
      </c>
      <c r="C90" s="12" t="str">
        <f>_xlfn.DISPIMG("ID_54EEF918B13F4B68A9C494DADEA8C165",1)</f>
        <v>=DISPIMG("ID_54EEF918B13F4B68A9C494DADEA8C165",1)</v>
      </c>
      <c r="D90" s="12" t="s">
        <v>239</v>
      </c>
      <c r="E90" s="12" t="s">
        <v>240</v>
      </c>
      <c r="F90" s="12" t="s">
        <v>180</v>
      </c>
      <c r="G90" s="15">
        <v>1</v>
      </c>
      <c r="H90" s="15">
        <f t="shared" si="11"/>
        <v>5426.67</v>
      </c>
      <c r="I90" s="15">
        <f t="shared" si="12"/>
        <v>5426.67</v>
      </c>
      <c r="J90" s="12"/>
      <c r="L90" s="5">
        <v>5380</v>
      </c>
      <c r="M90" s="5">
        <v>5600</v>
      </c>
      <c r="N90" s="5">
        <v>5300</v>
      </c>
      <c r="O90" s="28">
        <f t="shared" si="6"/>
        <v>5426.67</v>
      </c>
      <c r="P90" s="28" t="e">
        <f>#REF!*O90</f>
        <v>#REF!</v>
      </c>
    </row>
    <row r="91" s="2" customFormat="1" ht="80" customHeight="1" outlineLevel="1" spans="1:16">
      <c r="A91" s="12">
        <v>4.13</v>
      </c>
      <c r="B91" s="12" t="s">
        <v>272</v>
      </c>
      <c r="C91" s="12" t="str">
        <f>_xlfn.DISPIMG("ID_5D69060F5F484D8CB2FFB8392355312D",1)</f>
        <v>=DISPIMG("ID_5D69060F5F484D8CB2FFB8392355312D",1)</v>
      </c>
      <c r="D91" s="12" t="s">
        <v>273</v>
      </c>
      <c r="E91" s="12" t="s">
        <v>274</v>
      </c>
      <c r="F91" s="12" t="s">
        <v>180</v>
      </c>
      <c r="G91" s="15">
        <v>1</v>
      </c>
      <c r="H91" s="15">
        <f t="shared" si="11"/>
        <v>1600</v>
      </c>
      <c r="I91" s="15">
        <f t="shared" si="12"/>
        <v>1600</v>
      </c>
      <c r="J91" s="12"/>
      <c r="L91" s="5">
        <v>1600</v>
      </c>
      <c r="M91" s="5">
        <v>1400</v>
      </c>
      <c r="N91" s="5">
        <v>1800</v>
      </c>
      <c r="O91" s="28">
        <f t="shared" si="6"/>
        <v>1600</v>
      </c>
      <c r="P91" s="28" t="e">
        <f>#REF!*O91</f>
        <v>#REF!</v>
      </c>
    </row>
    <row r="92" ht="80" customHeight="1" outlineLevel="1" spans="1:16">
      <c r="A92" s="12">
        <v>5</v>
      </c>
      <c r="B92" s="12"/>
      <c r="C92" s="12"/>
      <c r="D92" s="12"/>
      <c r="E92" s="12"/>
      <c r="F92" s="12"/>
      <c r="G92" s="15"/>
      <c r="H92" s="15"/>
      <c r="I92" s="15"/>
      <c r="J92" s="12"/>
      <c r="O92" s="28">
        <f t="shared" si="6"/>
        <v>0</v>
      </c>
      <c r="P92" s="28" t="e">
        <f>#REF!*O92</f>
        <v>#REF!</v>
      </c>
    </row>
    <row r="93" ht="80" customHeight="1" outlineLevel="1" spans="1:16">
      <c r="A93" s="12">
        <v>5.1</v>
      </c>
      <c r="B93" s="12" t="s">
        <v>275</v>
      </c>
      <c r="C93" s="12" t="str">
        <f>_xlfn.DISPIMG("ID_F0F086EEF86E4A05A1434E628D762427",1)</f>
        <v>=DISPIMG("ID_F0F086EEF86E4A05A1434E628D762427",1)</v>
      </c>
      <c r="D93" s="12" t="s">
        <v>276</v>
      </c>
      <c r="E93" s="12" t="s">
        <v>271</v>
      </c>
      <c r="F93" s="12" t="s">
        <v>180</v>
      </c>
      <c r="G93" s="15">
        <v>2</v>
      </c>
      <c r="H93" s="15">
        <f t="shared" ref="H93:H95" si="13">O93</f>
        <v>3500</v>
      </c>
      <c r="I93" s="15">
        <f t="shared" ref="I93:I95" si="14">ROUND(G93*H93,2)</f>
        <v>7000</v>
      </c>
      <c r="J93" s="12"/>
      <c r="L93" s="5">
        <v>3000</v>
      </c>
      <c r="M93" s="5">
        <v>3500</v>
      </c>
      <c r="N93" s="5">
        <v>4000</v>
      </c>
      <c r="O93" s="28">
        <f t="shared" si="6"/>
        <v>3500</v>
      </c>
      <c r="P93" s="28" t="e">
        <f>#REF!*O93</f>
        <v>#REF!</v>
      </c>
    </row>
    <row r="94" ht="80" customHeight="1" outlineLevel="1" spans="1:16">
      <c r="A94" s="12">
        <v>5.2</v>
      </c>
      <c r="B94" s="12" t="s">
        <v>277</v>
      </c>
      <c r="C94" s="12" t="str">
        <f>_xlfn.DISPIMG("ID_E05B9AEB4837426FBD9CE61FE17ACB07",1)</f>
        <v>=DISPIMG("ID_E05B9AEB4837426FBD9CE61FE17ACB07",1)</v>
      </c>
      <c r="D94" s="12" t="s">
        <v>233</v>
      </c>
      <c r="E94" s="12" t="s">
        <v>271</v>
      </c>
      <c r="F94" s="12" t="s">
        <v>180</v>
      </c>
      <c r="G94" s="15">
        <v>1</v>
      </c>
      <c r="H94" s="15">
        <f t="shared" si="13"/>
        <v>1113.33</v>
      </c>
      <c r="I94" s="15">
        <f t="shared" si="14"/>
        <v>1113.33</v>
      </c>
      <c r="J94" s="12"/>
      <c r="L94" s="5">
        <v>1100</v>
      </c>
      <c r="M94" s="5">
        <v>980</v>
      </c>
      <c r="N94" s="5">
        <v>1260</v>
      </c>
      <c r="O94" s="28">
        <f t="shared" si="6"/>
        <v>1113.33</v>
      </c>
      <c r="P94" s="28" t="e">
        <f>#REF!*O94</f>
        <v>#REF!</v>
      </c>
    </row>
    <row r="95" s="2" customFormat="1" ht="80" customHeight="1" outlineLevel="1" spans="1:16">
      <c r="A95" s="12">
        <v>5.3</v>
      </c>
      <c r="B95" s="12" t="s">
        <v>278</v>
      </c>
      <c r="C95" s="12" t="str">
        <f>_xlfn.DISPIMG("ID_650FBA4BE8CA495F95D874B928F3BEB6",1)</f>
        <v>=DISPIMG("ID_650FBA4BE8CA495F95D874B928F3BEB6",1)</v>
      </c>
      <c r="D95" s="12" t="s">
        <v>279</v>
      </c>
      <c r="E95" s="12" t="s">
        <v>280</v>
      </c>
      <c r="F95" s="12" t="s">
        <v>180</v>
      </c>
      <c r="G95" s="15">
        <v>1</v>
      </c>
      <c r="H95" s="15">
        <f t="shared" si="13"/>
        <v>2066.67</v>
      </c>
      <c r="I95" s="15">
        <f t="shared" si="14"/>
        <v>2066.67</v>
      </c>
      <c r="J95" s="12"/>
      <c r="L95" s="5">
        <v>1900</v>
      </c>
      <c r="M95" s="5">
        <v>2500</v>
      </c>
      <c r="N95" s="5">
        <v>1800</v>
      </c>
      <c r="O95" s="28">
        <f t="shared" si="6"/>
        <v>2066.67</v>
      </c>
      <c r="P95" s="28" t="e">
        <f>#REF!*O95</f>
        <v>#REF!</v>
      </c>
    </row>
    <row r="96" ht="80" customHeight="1" outlineLevel="1" spans="1:16">
      <c r="A96" s="12">
        <v>6</v>
      </c>
      <c r="B96" s="12"/>
      <c r="C96" s="12"/>
      <c r="D96" s="12"/>
      <c r="E96" s="12"/>
      <c r="F96" s="12"/>
      <c r="G96" s="15"/>
      <c r="H96" s="15"/>
      <c r="I96" s="15"/>
      <c r="J96" s="12"/>
      <c r="O96" s="28">
        <f t="shared" si="6"/>
        <v>0</v>
      </c>
      <c r="P96" s="28" t="e">
        <f>#REF!*O96</f>
        <v>#REF!</v>
      </c>
    </row>
    <row r="97" ht="80" customHeight="1" outlineLevel="1" spans="1:16">
      <c r="A97" s="12">
        <v>6.1</v>
      </c>
      <c r="B97" s="12" t="s">
        <v>235</v>
      </c>
      <c r="C97" s="12" t="str">
        <f>_xlfn.DISPIMG("ID_2015D7070C194BBE9DEEFE58F62B3A1B",1)</f>
        <v>=DISPIMG("ID_2015D7070C194BBE9DEEFE58F62B3A1B",1)</v>
      </c>
      <c r="D97" s="12" t="s">
        <v>236</v>
      </c>
      <c r="E97" s="12" t="s">
        <v>237</v>
      </c>
      <c r="F97" s="12" t="s">
        <v>180</v>
      </c>
      <c r="G97" s="15">
        <v>3</v>
      </c>
      <c r="H97" s="15">
        <f t="shared" ref="H97:H99" si="15">O97</f>
        <v>1523.33</v>
      </c>
      <c r="I97" s="15">
        <f t="shared" ref="I97:I99" si="16">ROUND(G97*H97,2)</f>
        <v>4569.99</v>
      </c>
      <c r="J97" s="12"/>
      <c r="L97" s="5">
        <v>1560</v>
      </c>
      <c r="M97" s="5">
        <v>1410</v>
      </c>
      <c r="N97" s="5">
        <v>1600</v>
      </c>
      <c r="O97" s="28">
        <f t="shared" si="6"/>
        <v>1523.33</v>
      </c>
      <c r="P97" s="28" t="e">
        <f>#REF!*O97</f>
        <v>#REF!</v>
      </c>
    </row>
    <row r="98" ht="80" customHeight="1" outlineLevel="1" spans="1:16">
      <c r="A98" s="12">
        <v>6.2</v>
      </c>
      <c r="B98" s="12" t="s">
        <v>232</v>
      </c>
      <c r="C98" s="12" t="str">
        <f>_xlfn.DISPIMG("ID_D93C0160927E4B68A776929D47132083",1)</f>
        <v>=DISPIMG("ID_D93C0160927E4B68A776929D47132083",1)</v>
      </c>
      <c r="D98" s="12" t="s">
        <v>265</v>
      </c>
      <c r="E98" s="12" t="s">
        <v>281</v>
      </c>
      <c r="F98" s="12" t="s">
        <v>180</v>
      </c>
      <c r="G98" s="15">
        <v>2</v>
      </c>
      <c r="H98" s="15">
        <f t="shared" si="15"/>
        <v>963.33</v>
      </c>
      <c r="I98" s="15">
        <f t="shared" si="16"/>
        <v>1926.66</v>
      </c>
      <c r="J98" s="12"/>
      <c r="L98" s="5">
        <v>850</v>
      </c>
      <c r="M98" s="5">
        <v>980</v>
      </c>
      <c r="N98" s="5">
        <v>1060</v>
      </c>
      <c r="O98" s="28">
        <f t="shared" si="6"/>
        <v>963.33</v>
      </c>
      <c r="P98" s="28" t="e">
        <f>#REF!*O98</f>
        <v>#REF!</v>
      </c>
    </row>
    <row r="99" ht="80" customHeight="1" outlineLevel="1" spans="1:16">
      <c r="A99" s="12">
        <v>6.3</v>
      </c>
      <c r="B99" s="12" t="s">
        <v>225</v>
      </c>
      <c r="C99" s="12" t="str">
        <f>_xlfn.DISPIMG("ID_34E76E04BAFA4FCD849562B2066DFE96",1)</f>
        <v>=DISPIMG("ID_34E76E04BAFA4FCD849562B2066DFE96",1)</v>
      </c>
      <c r="D99" s="12" t="s">
        <v>226</v>
      </c>
      <c r="E99" s="12" t="s">
        <v>231</v>
      </c>
      <c r="F99" s="12" t="s">
        <v>180</v>
      </c>
      <c r="G99" s="15">
        <v>1</v>
      </c>
      <c r="H99" s="15">
        <f t="shared" si="15"/>
        <v>221.33</v>
      </c>
      <c r="I99" s="15">
        <f t="shared" si="16"/>
        <v>221.33</v>
      </c>
      <c r="J99" s="12"/>
      <c r="L99" s="5">
        <v>199</v>
      </c>
      <c r="M99" s="5">
        <v>220</v>
      </c>
      <c r="N99" s="5">
        <v>245</v>
      </c>
      <c r="O99" s="28">
        <f t="shared" si="6"/>
        <v>221.33</v>
      </c>
      <c r="P99" s="28" t="e">
        <f>#REF!*O99</f>
        <v>#REF!</v>
      </c>
    </row>
    <row r="100" ht="80" customHeight="1" outlineLevel="1" spans="1:16">
      <c r="A100" s="12">
        <v>7</v>
      </c>
      <c r="B100" s="12"/>
      <c r="C100" s="12"/>
      <c r="D100" s="12"/>
      <c r="E100" s="12"/>
      <c r="F100" s="12"/>
      <c r="G100" s="15"/>
      <c r="H100" s="15"/>
      <c r="I100" s="15"/>
      <c r="J100" s="12"/>
      <c r="O100" s="28">
        <f t="shared" si="6"/>
        <v>0</v>
      </c>
      <c r="P100" s="28" t="e">
        <f>#REF!*O100</f>
        <v>#REF!</v>
      </c>
    </row>
    <row r="101" s="2" customFormat="1" ht="80" customHeight="1" outlineLevel="1" spans="1:16">
      <c r="A101" s="12">
        <v>7.1</v>
      </c>
      <c r="B101" s="12" t="s">
        <v>282</v>
      </c>
      <c r="C101" s="12" t="str">
        <f>_xlfn.DISPIMG("ID_BC333397017E45B9928737FD7990D1C0",1)</f>
        <v>=DISPIMG("ID_BC333397017E45B9928737FD7990D1C0",1)</v>
      </c>
      <c r="D101" s="12" t="s">
        <v>283</v>
      </c>
      <c r="E101" s="12" t="s">
        <v>284</v>
      </c>
      <c r="F101" s="12" t="s">
        <v>180</v>
      </c>
      <c r="G101" s="15">
        <v>1</v>
      </c>
      <c r="H101" s="15">
        <f t="shared" ref="H101:H104" si="17">O101</f>
        <v>5433.33</v>
      </c>
      <c r="I101" s="15">
        <f t="shared" ref="I101:I104" si="18">ROUND(G101*H101,2)</f>
        <v>5433.33</v>
      </c>
      <c r="J101" s="12"/>
      <c r="L101" s="5">
        <v>4500</v>
      </c>
      <c r="M101" s="5">
        <v>5000</v>
      </c>
      <c r="N101" s="5">
        <v>6800</v>
      </c>
      <c r="O101" s="28">
        <f t="shared" si="6"/>
        <v>5433.33</v>
      </c>
      <c r="P101" s="28" t="e">
        <f>#REF!*O101</f>
        <v>#REF!</v>
      </c>
    </row>
    <row r="102" ht="80" customHeight="1" outlineLevel="1" spans="1:16">
      <c r="A102" s="12">
        <v>7.2</v>
      </c>
      <c r="B102" s="12" t="s">
        <v>285</v>
      </c>
      <c r="C102" s="12" t="str">
        <f>_xlfn.DISPIMG("ID_6841FFA429AA478BB935BAEB92EFDC3F",1)</f>
        <v>=DISPIMG("ID_6841FFA429AA478BB935BAEB92EFDC3F",1)</v>
      </c>
      <c r="D102" s="12" t="s">
        <v>286</v>
      </c>
      <c r="E102" s="12" t="s">
        <v>287</v>
      </c>
      <c r="F102" s="12" t="s">
        <v>180</v>
      </c>
      <c r="G102" s="15">
        <v>1</v>
      </c>
      <c r="H102" s="15">
        <f t="shared" si="17"/>
        <v>4133.33</v>
      </c>
      <c r="I102" s="15">
        <f t="shared" si="18"/>
        <v>4133.33</v>
      </c>
      <c r="J102" s="12"/>
      <c r="L102" s="5">
        <v>4000</v>
      </c>
      <c r="M102" s="5">
        <v>4100</v>
      </c>
      <c r="N102" s="5">
        <v>4300</v>
      </c>
      <c r="O102" s="28">
        <f t="shared" si="6"/>
        <v>4133.33</v>
      </c>
      <c r="P102" s="28" t="e">
        <f>#REF!*O102</f>
        <v>#REF!</v>
      </c>
    </row>
    <row r="103" ht="80" customHeight="1" outlineLevel="1" spans="1:16">
      <c r="A103" s="12">
        <v>7.3</v>
      </c>
      <c r="B103" s="12" t="s">
        <v>288</v>
      </c>
      <c r="C103" s="12" t="str">
        <f>_xlfn.DISPIMG("ID_4BA461D921A24BBAB641C84E39C3133C",1)</f>
        <v>=DISPIMG("ID_4BA461D921A24BBAB641C84E39C3133C",1)</v>
      </c>
      <c r="D103" s="12" t="s">
        <v>289</v>
      </c>
      <c r="E103" s="12" t="s">
        <v>290</v>
      </c>
      <c r="F103" s="12" t="s">
        <v>180</v>
      </c>
      <c r="G103" s="15">
        <v>1</v>
      </c>
      <c r="H103" s="15">
        <f t="shared" si="17"/>
        <v>1733.33</v>
      </c>
      <c r="I103" s="15">
        <f t="shared" si="18"/>
        <v>1733.33</v>
      </c>
      <c r="J103" s="12"/>
      <c r="L103" s="5">
        <v>1800</v>
      </c>
      <c r="M103" s="5">
        <v>1400</v>
      </c>
      <c r="N103" s="5">
        <v>2000</v>
      </c>
      <c r="O103" s="28">
        <f t="shared" si="6"/>
        <v>1733.33</v>
      </c>
      <c r="P103" s="28" t="e">
        <f>#REF!*O103</f>
        <v>#REF!</v>
      </c>
    </row>
    <row r="104" ht="80" customHeight="1" outlineLevel="1" spans="1:16">
      <c r="A104" s="12">
        <v>7.4</v>
      </c>
      <c r="B104" s="12" t="s">
        <v>225</v>
      </c>
      <c r="C104" s="12" t="str">
        <f>_xlfn.DISPIMG("ID_A1CFC471C4FD44E68689E2699248C3DA",1)</f>
        <v>=DISPIMG("ID_A1CFC471C4FD44E68689E2699248C3DA",1)</v>
      </c>
      <c r="D104" s="12" t="s">
        <v>226</v>
      </c>
      <c r="E104" s="12" t="s">
        <v>231</v>
      </c>
      <c r="F104" s="12" t="s">
        <v>180</v>
      </c>
      <c r="G104" s="15">
        <v>1</v>
      </c>
      <c r="H104" s="15">
        <f t="shared" si="17"/>
        <v>221.33</v>
      </c>
      <c r="I104" s="15">
        <f t="shared" si="18"/>
        <v>221.33</v>
      </c>
      <c r="J104" s="12"/>
      <c r="L104" s="5">
        <v>199</v>
      </c>
      <c r="M104" s="5">
        <v>220</v>
      </c>
      <c r="N104" s="5">
        <v>245</v>
      </c>
      <c r="O104" s="28">
        <f t="shared" si="6"/>
        <v>221.33</v>
      </c>
      <c r="P104" s="28" t="e">
        <f>#REF!*O104</f>
        <v>#REF!</v>
      </c>
    </row>
    <row r="105" ht="80" customHeight="1" outlineLevel="1" spans="1:16">
      <c r="A105" s="12">
        <v>8</v>
      </c>
      <c r="B105" s="12"/>
      <c r="C105" s="12"/>
      <c r="D105" s="12"/>
      <c r="E105" s="12"/>
      <c r="F105" s="12"/>
      <c r="G105" s="15"/>
      <c r="H105" s="15"/>
      <c r="I105" s="15"/>
      <c r="J105" s="12"/>
      <c r="O105" s="28">
        <f t="shared" si="6"/>
        <v>0</v>
      </c>
      <c r="P105" s="28" t="e">
        <f>#REF!*O105</f>
        <v>#REF!</v>
      </c>
    </row>
    <row r="106" ht="80" customHeight="1" outlineLevel="1" spans="1:16">
      <c r="A106" s="12">
        <v>8.1</v>
      </c>
      <c r="B106" s="12" t="s">
        <v>291</v>
      </c>
      <c r="C106" s="12" t="str">
        <f>_xlfn.DISPIMG("ID_749511451ABE4DD1B0DDB7135F292CEB",1)</f>
        <v>=DISPIMG("ID_749511451ABE4DD1B0DDB7135F292CEB",1)</v>
      </c>
      <c r="D106" s="12" t="s">
        <v>265</v>
      </c>
      <c r="E106" s="12" t="s">
        <v>271</v>
      </c>
      <c r="F106" s="12" t="s">
        <v>180</v>
      </c>
      <c r="G106" s="15">
        <v>2</v>
      </c>
      <c r="H106" s="15">
        <f t="shared" ref="H106:H126" si="19">O106</f>
        <v>1113.33</v>
      </c>
      <c r="I106" s="15">
        <f t="shared" ref="I106:I126" si="20">ROUND(G106*H106,2)</f>
        <v>2226.66</v>
      </c>
      <c r="J106" s="12"/>
      <c r="L106" s="5">
        <v>1100</v>
      </c>
      <c r="M106" s="5">
        <v>980</v>
      </c>
      <c r="N106" s="5">
        <v>1260</v>
      </c>
      <c r="O106" s="28">
        <f t="shared" si="6"/>
        <v>1113.33</v>
      </c>
      <c r="P106" s="28" t="e">
        <f>#REF!*O106</f>
        <v>#REF!</v>
      </c>
    </row>
    <row r="107" ht="80" customHeight="1" outlineLevel="1" spans="1:16">
      <c r="A107" s="12">
        <v>9</v>
      </c>
      <c r="B107" s="12"/>
      <c r="C107" s="12"/>
      <c r="D107" s="12"/>
      <c r="E107" s="12"/>
      <c r="F107" s="12"/>
      <c r="G107" s="15"/>
      <c r="H107" s="15"/>
      <c r="I107" s="15"/>
      <c r="J107" s="12"/>
      <c r="O107" s="28">
        <f t="shared" si="6"/>
        <v>0</v>
      </c>
      <c r="P107" s="28" t="e">
        <f>#REF!*O107</f>
        <v>#REF!</v>
      </c>
    </row>
    <row r="108" ht="80" customHeight="1" outlineLevel="1" spans="1:16">
      <c r="A108" s="12">
        <v>9.1</v>
      </c>
      <c r="B108" s="12" t="s">
        <v>292</v>
      </c>
      <c r="C108" s="12" t="str">
        <f>_xlfn.DISPIMG("ID_AE82AB007CA24627A324D99BFE71D9B4",1)</f>
        <v>=DISPIMG("ID_AE82AB007CA24627A324D99BFE71D9B4",1)</v>
      </c>
      <c r="D108" s="12" t="s">
        <v>293</v>
      </c>
      <c r="E108" s="12" t="s">
        <v>294</v>
      </c>
      <c r="F108" s="12" t="s">
        <v>295</v>
      </c>
      <c r="G108" s="15">
        <v>4.8</v>
      </c>
      <c r="H108" s="15">
        <f t="shared" si="19"/>
        <v>1233.33</v>
      </c>
      <c r="I108" s="15">
        <f t="shared" si="20"/>
        <v>5919.98</v>
      </c>
      <c r="J108" s="12"/>
      <c r="L108" s="5">
        <v>1400</v>
      </c>
      <c r="M108" s="5">
        <v>1100</v>
      </c>
      <c r="N108" s="5">
        <v>1200</v>
      </c>
      <c r="O108" s="28">
        <f t="shared" si="6"/>
        <v>1233.33</v>
      </c>
      <c r="P108" s="28" t="e">
        <f>#REF!*O108</f>
        <v>#REF!</v>
      </c>
    </row>
    <row r="109" ht="80" customHeight="1" outlineLevel="1" spans="1:16">
      <c r="A109" s="12">
        <v>9.2</v>
      </c>
      <c r="B109" s="12" t="s">
        <v>296</v>
      </c>
      <c r="C109" s="12" t="str">
        <f>_xlfn.DISPIMG("ID_968455F2EFBC49218CF2D6B39FD0D48E",1)</f>
        <v>=DISPIMG("ID_968455F2EFBC49218CF2D6B39FD0D48E",1)</v>
      </c>
      <c r="D109" s="12" t="s">
        <v>297</v>
      </c>
      <c r="E109" s="12" t="s">
        <v>298</v>
      </c>
      <c r="F109" s="12" t="s">
        <v>295</v>
      </c>
      <c r="G109" s="15">
        <v>4.8</v>
      </c>
      <c r="H109" s="15">
        <f t="shared" si="19"/>
        <v>55</v>
      </c>
      <c r="I109" s="15">
        <f t="shared" si="20"/>
        <v>264</v>
      </c>
      <c r="J109" s="12"/>
      <c r="L109" s="5">
        <v>50</v>
      </c>
      <c r="M109" s="5">
        <v>60</v>
      </c>
      <c r="N109" s="5">
        <v>55</v>
      </c>
      <c r="O109" s="28">
        <f t="shared" si="6"/>
        <v>55</v>
      </c>
      <c r="P109" s="28" t="e">
        <f>#REF!*O109</f>
        <v>#REF!</v>
      </c>
    </row>
    <row r="110" ht="80" customHeight="1" outlineLevel="1" spans="1:16">
      <c r="A110" s="12">
        <v>9.3</v>
      </c>
      <c r="B110" s="12" t="s">
        <v>299</v>
      </c>
      <c r="C110" s="12" t="str">
        <f>_xlfn.DISPIMG("ID_BAC66E712ECC4363967FC7C36B017173",1)</f>
        <v>=DISPIMG("ID_BAC66E712ECC4363967FC7C36B017173",1)</v>
      </c>
      <c r="D110" s="12" t="s">
        <v>300</v>
      </c>
      <c r="E110" s="12" t="s">
        <v>301</v>
      </c>
      <c r="F110" s="12" t="s">
        <v>180</v>
      </c>
      <c r="G110" s="15">
        <v>1</v>
      </c>
      <c r="H110" s="15">
        <f t="shared" si="19"/>
        <v>8193.33</v>
      </c>
      <c r="I110" s="15">
        <f t="shared" si="20"/>
        <v>8193.33</v>
      </c>
      <c r="J110" s="12"/>
      <c r="L110" s="5">
        <v>7500</v>
      </c>
      <c r="M110" s="5">
        <v>8400</v>
      </c>
      <c r="N110" s="5">
        <v>8680</v>
      </c>
      <c r="O110" s="28">
        <f t="shared" si="6"/>
        <v>8193.33</v>
      </c>
      <c r="P110" s="28" t="e">
        <f>#REF!*O110</f>
        <v>#REF!</v>
      </c>
    </row>
    <row r="111" ht="80" customHeight="1" outlineLevel="1" spans="1:16">
      <c r="A111" s="12">
        <v>9.4</v>
      </c>
      <c r="B111" s="12" t="s">
        <v>302</v>
      </c>
      <c r="C111" s="12" t="str">
        <f>_xlfn.DISPIMG("ID_850410C196514D0A8D673CD278902596",1)</f>
        <v>=DISPIMG("ID_850410C196514D0A8D673CD278902596",1)</v>
      </c>
      <c r="D111" s="12" t="s">
        <v>303</v>
      </c>
      <c r="E111" s="12" t="s">
        <v>304</v>
      </c>
      <c r="F111" s="12" t="s">
        <v>180</v>
      </c>
      <c r="G111" s="15">
        <v>1</v>
      </c>
      <c r="H111" s="15">
        <f t="shared" si="19"/>
        <v>17756.67</v>
      </c>
      <c r="I111" s="15">
        <f t="shared" si="20"/>
        <v>17756.67</v>
      </c>
      <c r="J111" s="12"/>
      <c r="L111" s="5">
        <v>16500</v>
      </c>
      <c r="M111" s="5">
        <v>18880</v>
      </c>
      <c r="N111" s="5">
        <v>17890</v>
      </c>
      <c r="O111" s="28">
        <f t="shared" si="6"/>
        <v>17756.67</v>
      </c>
      <c r="P111" s="28" t="e">
        <f>#REF!*O111</f>
        <v>#REF!</v>
      </c>
    </row>
    <row r="112" ht="80" customHeight="1" outlineLevel="1" spans="1:16">
      <c r="A112" s="12">
        <v>9.5</v>
      </c>
      <c r="B112" s="12" t="s">
        <v>305</v>
      </c>
      <c r="C112" s="12" t="str">
        <f>_xlfn.DISPIMG("ID_713E9C3202B14D97AD147CEC6BE7749D",1)</f>
        <v>=DISPIMG("ID_713E9C3202B14D97AD147CEC6BE7749D",1)</v>
      </c>
      <c r="D112" s="12" t="s">
        <v>306</v>
      </c>
      <c r="E112" s="12" t="s">
        <v>307</v>
      </c>
      <c r="F112" s="12" t="s">
        <v>295</v>
      </c>
      <c r="G112" s="15">
        <v>4.8</v>
      </c>
      <c r="H112" s="15">
        <f t="shared" si="19"/>
        <v>308.67</v>
      </c>
      <c r="I112" s="15">
        <f t="shared" si="20"/>
        <v>1481.62</v>
      </c>
      <c r="J112" s="12"/>
      <c r="L112" s="5">
        <v>280</v>
      </c>
      <c r="M112" s="5">
        <v>310</v>
      </c>
      <c r="N112" s="5">
        <v>336</v>
      </c>
      <c r="O112" s="28">
        <f t="shared" si="6"/>
        <v>308.67</v>
      </c>
      <c r="P112" s="28" t="e">
        <f>#REF!*O112</f>
        <v>#REF!</v>
      </c>
    </row>
    <row r="113" s="2" customFormat="1" ht="80" customHeight="1" outlineLevel="1" spans="1:16">
      <c r="A113" s="12">
        <v>9.6</v>
      </c>
      <c r="B113" s="12" t="s">
        <v>308</v>
      </c>
      <c r="C113" s="12" t="str">
        <f>_xlfn.DISPIMG("ID_2666E8992F1D4D28B2EE83A21E6DE763",1)</f>
        <v>=DISPIMG("ID_2666E8992F1D4D28B2EE83A21E6DE763",1)</v>
      </c>
      <c r="D113" s="12" t="s">
        <v>309</v>
      </c>
      <c r="E113" s="12" t="s">
        <v>310</v>
      </c>
      <c r="F113" s="12" t="s">
        <v>311</v>
      </c>
      <c r="G113" s="15">
        <v>56</v>
      </c>
      <c r="H113" s="15">
        <f t="shared" si="19"/>
        <v>169.33</v>
      </c>
      <c r="I113" s="15">
        <f t="shared" si="20"/>
        <v>9482.48</v>
      </c>
      <c r="J113" s="12"/>
      <c r="L113" s="5">
        <v>190</v>
      </c>
      <c r="M113" s="5">
        <v>150</v>
      </c>
      <c r="N113" s="5">
        <v>168</v>
      </c>
      <c r="O113" s="28">
        <f t="shared" si="6"/>
        <v>169.33</v>
      </c>
      <c r="P113" s="28" t="e">
        <f>#REF!*O113</f>
        <v>#REF!</v>
      </c>
    </row>
    <row r="114" ht="80" customHeight="1" outlineLevel="1" spans="1:16">
      <c r="A114" s="12">
        <v>9.7</v>
      </c>
      <c r="B114" s="12" t="s">
        <v>312</v>
      </c>
      <c r="C114" s="12" t="str">
        <f>_xlfn.DISPIMG("ID_095E07C7D93A46B99AB4F11E3B876F68",1)</f>
        <v>=DISPIMG("ID_095E07C7D93A46B99AB4F11E3B876F68",1)</v>
      </c>
      <c r="D114" s="12" t="s">
        <v>313</v>
      </c>
      <c r="E114" s="12" t="s">
        <v>314</v>
      </c>
      <c r="F114" s="12" t="s">
        <v>56</v>
      </c>
      <c r="G114" s="15">
        <v>20</v>
      </c>
      <c r="H114" s="15">
        <f t="shared" si="19"/>
        <v>33.67</v>
      </c>
      <c r="I114" s="15">
        <f t="shared" si="20"/>
        <v>673.4</v>
      </c>
      <c r="J114" s="12"/>
      <c r="L114" s="5">
        <v>35</v>
      </c>
      <c r="M114" s="5">
        <v>30</v>
      </c>
      <c r="N114" s="5">
        <v>36</v>
      </c>
      <c r="O114" s="28">
        <f t="shared" si="6"/>
        <v>33.67</v>
      </c>
      <c r="P114" s="28" t="e">
        <f>#REF!*O114</f>
        <v>#REF!</v>
      </c>
    </row>
    <row r="115" ht="80" customHeight="1" outlineLevel="1" spans="1:16">
      <c r="A115" s="12">
        <v>9.8</v>
      </c>
      <c r="B115" s="12" t="s">
        <v>315</v>
      </c>
      <c r="C115" s="12" t="str">
        <f>_xlfn.DISPIMG("ID_2388A64FD7164A2D9A0172DDD8EF3A8C",1)</f>
        <v>=DISPIMG("ID_2388A64FD7164A2D9A0172DDD8EF3A8C",1)</v>
      </c>
      <c r="D115" s="12" t="s">
        <v>316</v>
      </c>
      <c r="E115" s="12" t="s">
        <v>317</v>
      </c>
      <c r="F115" s="12" t="s">
        <v>60</v>
      </c>
      <c r="G115" s="15">
        <v>1</v>
      </c>
      <c r="H115" s="15">
        <f t="shared" si="19"/>
        <v>626</v>
      </c>
      <c r="I115" s="15">
        <f t="shared" si="20"/>
        <v>626</v>
      </c>
      <c r="J115" s="12"/>
      <c r="L115" s="5">
        <v>550</v>
      </c>
      <c r="M115" s="5">
        <v>680</v>
      </c>
      <c r="N115" s="5">
        <v>648</v>
      </c>
      <c r="O115" s="28">
        <f t="shared" si="6"/>
        <v>626</v>
      </c>
      <c r="P115" s="28" t="e">
        <f>#REF!*O115</f>
        <v>#REF!</v>
      </c>
    </row>
    <row r="116" ht="80" customHeight="1" outlineLevel="1" spans="1:16">
      <c r="A116" s="12">
        <v>9.9</v>
      </c>
      <c r="B116" s="12" t="s">
        <v>318</v>
      </c>
      <c r="C116" s="12" t="str">
        <f>_xlfn.DISPIMG("ID_0F5BF9D0B61041AF88C08399477CC6B3",1)</f>
        <v>=DISPIMG("ID_0F5BF9D0B61041AF88C08399477CC6B3",1)</v>
      </c>
      <c r="D116" s="12" t="s">
        <v>319</v>
      </c>
      <c r="E116" s="12" t="s">
        <v>317</v>
      </c>
      <c r="F116" s="12" t="s">
        <v>60</v>
      </c>
      <c r="G116" s="15">
        <v>1</v>
      </c>
      <c r="H116" s="15">
        <f t="shared" si="19"/>
        <v>626</v>
      </c>
      <c r="I116" s="15">
        <f t="shared" si="20"/>
        <v>626</v>
      </c>
      <c r="J116" s="12"/>
      <c r="L116" s="5">
        <v>550</v>
      </c>
      <c r="M116" s="5">
        <v>680</v>
      </c>
      <c r="N116" s="5">
        <v>648</v>
      </c>
      <c r="O116" s="28">
        <f t="shared" si="6"/>
        <v>626</v>
      </c>
      <c r="P116" s="28" t="e">
        <f>#REF!*O116</f>
        <v>#REF!</v>
      </c>
    </row>
    <row r="117" ht="80" customHeight="1" outlineLevel="1" spans="1:16">
      <c r="A117" s="32">
        <v>9.1</v>
      </c>
      <c r="B117" s="12" t="s">
        <v>320</v>
      </c>
      <c r="C117" s="33" t="str">
        <f>_xlfn.DISPIMG("ID_338685409E46476A948CCB6400B2C1B9",1)</f>
        <v>=DISPIMG("ID_338685409E46476A948CCB6400B2C1B9",1)</v>
      </c>
      <c r="D117" s="12" t="s">
        <v>321</v>
      </c>
      <c r="E117" s="12" t="s">
        <v>322</v>
      </c>
      <c r="F117" s="12" t="s">
        <v>60</v>
      </c>
      <c r="G117" s="15">
        <v>1</v>
      </c>
      <c r="H117" s="15">
        <f t="shared" si="19"/>
        <v>673.33</v>
      </c>
      <c r="I117" s="15">
        <f t="shared" si="20"/>
        <v>673.33</v>
      </c>
      <c r="J117" s="12"/>
      <c r="L117" s="5">
        <v>660</v>
      </c>
      <c r="M117" s="5">
        <v>670</v>
      </c>
      <c r="N117" s="5">
        <v>690</v>
      </c>
      <c r="O117" s="28">
        <f t="shared" si="6"/>
        <v>673.33</v>
      </c>
      <c r="P117" s="28" t="e">
        <f>#REF!*O117</f>
        <v>#REF!</v>
      </c>
    </row>
    <row r="118" ht="80" customHeight="1" outlineLevel="1" spans="1:16">
      <c r="A118" s="12">
        <v>9.11</v>
      </c>
      <c r="B118" s="12" t="s">
        <v>323</v>
      </c>
      <c r="C118" s="33" t="str">
        <f>_xlfn.DISPIMG("ID_D9DBD881ADBB492ABDA8A16478901513",1)</f>
        <v>=DISPIMG("ID_D9DBD881ADBB492ABDA8A16478901513",1)</v>
      </c>
      <c r="D118" s="62" t="s">
        <v>324</v>
      </c>
      <c r="E118" s="12" t="s">
        <v>325</v>
      </c>
      <c r="F118" s="12" t="s">
        <v>56</v>
      </c>
      <c r="G118" s="15">
        <v>1</v>
      </c>
      <c r="H118" s="15">
        <f t="shared" si="19"/>
        <v>1416.67</v>
      </c>
      <c r="I118" s="15">
        <f t="shared" si="20"/>
        <v>1416.67</v>
      </c>
      <c r="J118" s="12"/>
      <c r="L118" s="5">
        <v>1200</v>
      </c>
      <c r="M118" s="5">
        <v>1400</v>
      </c>
      <c r="N118" s="5">
        <v>1650</v>
      </c>
      <c r="O118" s="28">
        <f t="shared" si="6"/>
        <v>1416.67</v>
      </c>
      <c r="P118" s="28" t="e">
        <f>#REF!*O118</f>
        <v>#REF!</v>
      </c>
    </row>
    <row r="119" ht="80" customHeight="1" outlineLevel="1" spans="1:16">
      <c r="A119" s="32">
        <v>9.12</v>
      </c>
      <c r="B119" s="12" t="s">
        <v>326</v>
      </c>
      <c r="C119" s="12" t="str">
        <f>_xlfn.DISPIMG("ID_102CFEB2B6064433B3A928364A3F5B08",1)</f>
        <v>=DISPIMG("ID_102CFEB2B6064433B3A928364A3F5B08",1)</v>
      </c>
      <c r="D119" s="12" t="s">
        <v>327</v>
      </c>
      <c r="E119" s="12" t="s">
        <v>314</v>
      </c>
      <c r="F119" s="12" t="s">
        <v>56</v>
      </c>
      <c r="G119" s="15">
        <v>6</v>
      </c>
      <c r="H119" s="15">
        <f t="shared" si="19"/>
        <v>532.33</v>
      </c>
      <c r="I119" s="15">
        <f t="shared" si="20"/>
        <v>3193.98</v>
      </c>
      <c r="J119" s="12"/>
      <c r="L119" s="5">
        <v>439</v>
      </c>
      <c r="M119" s="5">
        <v>460</v>
      </c>
      <c r="N119" s="5">
        <v>698</v>
      </c>
      <c r="O119" s="28">
        <f t="shared" si="6"/>
        <v>532.33</v>
      </c>
      <c r="P119" s="28" t="e">
        <f>#REF!*O119</f>
        <v>#REF!</v>
      </c>
    </row>
    <row r="120" ht="80" customHeight="1" outlineLevel="1" spans="1:16">
      <c r="A120" s="12">
        <v>9.13</v>
      </c>
      <c r="B120" s="12" t="s">
        <v>328</v>
      </c>
      <c r="C120" s="12" t="str">
        <f>_xlfn.DISPIMG("ID_2550B24B342D4ED39A6E7818BE43F052",1)</f>
        <v>=DISPIMG("ID_2550B24B342D4ED39A6E7818BE43F052",1)</v>
      </c>
      <c r="D120" s="12" t="s">
        <v>327</v>
      </c>
      <c r="E120" s="12" t="s">
        <v>314</v>
      </c>
      <c r="F120" s="12" t="s">
        <v>56</v>
      </c>
      <c r="G120" s="15">
        <v>4</v>
      </c>
      <c r="H120" s="15">
        <f t="shared" si="19"/>
        <v>532.33</v>
      </c>
      <c r="I120" s="15">
        <f t="shared" si="20"/>
        <v>2129.32</v>
      </c>
      <c r="J120" s="12"/>
      <c r="L120" s="5">
        <v>439</v>
      </c>
      <c r="M120" s="5">
        <v>460</v>
      </c>
      <c r="N120" s="5">
        <v>698</v>
      </c>
      <c r="O120" s="28">
        <f t="shared" si="6"/>
        <v>532.33</v>
      </c>
      <c r="P120" s="28" t="e">
        <f>#REF!*O120</f>
        <v>#REF!</v>
      </c>
    </row>
    <row r="121" ht="80" customHeight="1" outlineLevel="1" spans="1:16">
      <c r="A121" s="32">
        <v>9.14</v>
      </c>
      <c r="B121" s="12" t="s">
        <v>329</v>
      </c>
      <c r="C121" s="12" t="str">
        <f>_xlfn.DISPIMG("ID_5DA8542EFC24467AB88399FF53F66648",1)</f>
        <v>=DISPIMG("ID_5DA8542EFC24467AB88399FF53F66648",1)</v>
      </c>
      <c r="D121" s="12" t="s">
        <v>330</v>
      </c>
      <c r="E121" s="12" t="s">
        <v>314</v>
      </c>
      <c r="F121" s="12" t="s">
        <v>56</v>
      </c>
      <c r="G121" s="15">
        <v>2</v>
      </c>
      <c r="H121" s="15">
        <f t="shared" si="19"/>
        <v>157.67</v>
      </c>
      <c r="I121" s="15">
        <f t="shared" si="20"/>
        <v>315.34</v>
      </c>
      <c r="J121" s="12"/>
      <c r="L121" s="5">
        <v>135</v>
      </c>
      <c r="M121" s="5">
        <v>150</v>
      </c>
      <c r="N121" s="5">
        <v>188</v>
      </c>
      <c r="O121" s="28">
        <f t="shared" si="6"/>
        <v>157.67</v>
      </c>
      <c r="P121" s="28" t="e">
        <f>#REF!*O121</f>
        <v>#REF!</v>
      </c>
    </row>
    <row r="122" ht="80" customHeight="1" outlineLevel="1" spans="1:16">
      <c r="A122" s="12">
        <v>9.15</v>
      </c>
      <c r="B122" s="12" t="s">
        <v>331</v>
      </c>
      <c r="C122" s="12" t="str">
        <f>_xlfn.DISPIMG("ID_C9D10B0FDCC14CC2A33C9F502C9F3583",1)</f>
        <v>=DISPIMG("ID_C9D10B0FDCC14CC2A33C9F502C9F3583",1)</v>
      </c>
      <c r="D122" s="12" t="s">
        <v>332</v>
      </c>
      <c r="E122" s="12" t="s">
        <v>333</v>
      </c>
      <c r="F122" s="12" t="s">
        <v>295</v>
      </c>
      <c r="G122" s="15">
        <v>20</v>
      </c>
      <c r="H122" s="15">
        <f t="shared" si="19"/>
        <v>25.33</v>
      </c>
      <c r="I122" s="15">
        <f t="shared" si="20"/>
        <v>506.6</v>
      </c>
      <c r="J122" s="12"/>
      <c r="L122" s="5">
        <v>25</v>
      </c>
      <c r="M122" s="5">
        <v>23</v>
      </c>
      <c r="N122" s="5">
        <v>28</v>
      </c>
      <c r="O122" s="28">
        <f t="shared" si="6"/>
        <v>25.33</v>
      </c>
      <c r="P122" s="28" t="e">
        <f>#REF!*O122</f>
        <v>#REF!</v>
      </c>
    </row>
    <row r="123" ht="80" customHeight="1" outlineLevel="1" spans="1:16">
      <c r="A123" s="32">
        <v>9.16</v>
      </c>
      <c r="B123" s="12" t="s">
        <v>334</v>
      </c>
      <c r="C123" s="12" t="str">
        <f>_xlfn.DISPIMG("ID_E5B457E2D647473A85843AC7AE7EB15F",1)</f>
        <v>=DISPIMG("ID_E5B457E2D647473A85843AC7AE7EB15F",1)</v>
      </c>
      <c r="D123" s="12" t="s">
        <v>335</v>
      </c>
      <c r="E123" s="12" t="s">
        <v>314</v>
      </c>
      <c r="F123" s="12" t="s">
        <v>56</v>
      </c>
      <c r="G123" s="15">
        <v>3</v>
      </c>
      <c r="H123" s="15">
        <f t="shared" si="19"/>
        <v>149</v>
      </c>
      <c r="I123" s="15">
        <f t="shared" si="20"/>
        <v>447</v>
      </c>
      <c r="J123" s="12"/>
      <c r="L123" s="5">
        <v>140</v>
      </c>
      <c r="M123" s="5">
        <v>129</v>
      </c>
      <c r="N123" s="5">
        <v>178</v>
      </c>
      <c r="O123" s="28">
        <f t="shared" si="6"/>
        <v>149</v>
      </c>
      <c r="P123" s="28" t="e">
        <f>#REF!*O123</f>
        <v>#REF!</v>
      </c>
    </row>
    <row r="124" ht="80" customHeight="1" outlineLevel="1" spans="1:16">
      <c r="A124" s="12">
        <v>9.17</v>
      </c>
      <c r="B124" s="12" t="s">
        <v>336</v>
      </c>
      <c r="C124" s="12" t="str">
        <f>_xlfn.DISPIMG("ID_784393B356564644927D2EC4303DA76D",1)</f>
        <v>=DISPIMG("ID_784393B356564644927D2EC4303DA76D",1)</v>
      </c>
      <c r="D124" s="12" t="s">
        <v>337</v>
      </c>
      <c r="E124" s="12" t="s">
        <v>314</v>
      </c>
      <c r="F124" s="12" t="s">
        <v>56</v>
      </c>
      <c r="G124" s="15">
        <v>1</v>
      </c>
      <c r="H124" s="15">
        <f t="shared" si="19"/>
        <v>662.33</v>
      </c>
      <c r="I124" s="15">
        <f t="shared" si="20"/>
        <v>662.33</v>
      </c>
      <c r="J124" s="12"/>
      <c r="L124" s="5">
        <v>707</v>
      </c>
      <c r="M124" s="5">
        <v>690</v>
      </c>
      <c r="N124" s="5">
        <v>590</v>
      </c>
      <c r="O124" s="28">
        <f t="shared" si="6"/>
        <v>662.33</v>
      </c>
      <c r="P124" s="28" t="e">
        <f>#REF!*O124</f>
        <v>#REF!</v>
      </c>
    </row>
    <row r="125" ht="80" customHeight="1" outlineLevel="1" spans="1:16">
      <c r="A125" s="32">
        <v>9.18</v>
      </c>
      <c r="B125" s="12" t="s">
        <v>338</v>
      </c>
      <c r="C125" s="12" t="str">
        <f>_xlfn.DISPIMG("ID_E1EAB040BE174C1AA13BEEF5517EF00C",1)</f>
        <v>=DISPIMG("ID_E1EAB040BE174C1AA13BEEF5517EF00C",1)</v>
      </c>
      <c r="D125" s="12" t="s">
        <v>339</v>
      </c>
      <c r="E125" s="12" t="s">
        <v>314</v>
      </c>
      <c r="F125" s="12" t="s">
        <v>56</v>
      </c>
      <c r="G125" s="15">
        <v>1</v>
      </c>
      <c r="H125" s="15">
        <f t="shared" si="19"/>
        <v>830</v>
      </c>
      <c r="I125" s="15">
        <f t="shared" si="20"/>
        <v>830</v>
      </c>
      <c r="J125" s="12"/>
      <c r="L125" s="5">
        <v>760</v>
      </c>
      <c r="M125" s="5">
        <v>850</v>
      </c>
      <c r="N125" s="5">
        <v>880</v>
      </c>
      <c r="O125" s="28">
        <f t="shared" si="6"/>
        <v>830</v>
      </c>
      <c r="P125" s="28" t="e">
        <f>#REF!*O125</f>
        <v>#REF!</v>
      </c>
    </row>
    <row r="126" ht="80" customHeight="1" outlineLevel="1" spans="1:16">
      <c r="A126" s="12">
        <v>9.19</v>
      </c>
      <c r="B126" s="12" t="s">
        <v>340</v>
      </c>
      <c r="C126" s="33" t="str">
        <f>_xlfn.DISPIMG("ID_2B3C992F901045A29CFD3A8507549740",1)</f>
        <v>=DISPIMG("ID_2B3C992F901045A29CFD3A8507549740",1)</v>
      </c>
      <c r="D126" s="12" t="s">
        <v>341</v>
      </c>
      <c r="E126" s="12" t="s">
        <v>342</v>
      </c>
      <c r="F126" s="12" t="s">
        <v>60</v>
      </c>
      <c r="G126" s="15">
        <v>1</v>
      </c>
      <c r="H126" s="15">
        <f t="shared" si="19"/>
        <v>17063.33</v>
      </c>
      <c r="I126" s="15">
        <f t="shared" si="20"/>
        <v>17063.33</v>
      </c>
      <c r="J126" s="12"/>
      <c r="L126" s="5">
        <v>18900</v>
      </c>
      <c r="M126" s="5">
        <v>14300</v>
      </c>
      <c r="N126" s="5">
        <v>17990</v>
      </c>
      <c r="O126" s="28">
        <f t="shared" si="6"/>
        <v>17063.33</v>
      </c>
      <c r="P126" s="28" t="e">
        <f>#REF!*O126</f>
        <v>#REF!</v>
      </c>
    </row>
    <row r="127" s="1" customFormat="1" ht="43" customHeight="1" spans="1:16">
      <c r="A127" s="8" t="s">
        <v>343</v>
      </c>
      <c r="B127" s="8" t="s">
        <v>344</v>
      </c>
      <c r="C127" s="8"/>
      <c r="D127" s="8"/>
      <c r="E127" s="8"/>
      <c r="F127" s="24"/>
      <c r="G127" s="10"/>
      <c r="H127" s="10"/>
      <c r="I127" s="10">
        <f>SUM(I128:I134)</f>
        <v>78368.76</v>
      </c>
      <c r="J127" s="26"/>
      <c r="K127" s="1" t="e">
        <f>#REF!-#REF!-#REF!</f>
        <v>#REF!</v>
      </c>
      <c r="L127" s="27"/>
      <c r="M127" s="27"/>
      <c r="N127" s="27"/>
      <c r="O127" s="28"/>
      <c r="P127" s="28"/>
    </row>
    <row r="128" s="2" customFormat="1" ht="80" customHeight="1" outlineLevel="1" spans="1:16">
      <c r="A128" s="12">
        <v>1</v>
      </c>
      <c r="B128" s="12" t="s">
        <v>345</v>
      </c>
      <c r="C128" s="12" t="str">
        <f>_xlfn.DISPIMG("ID_03C009A42AAC4191A7394F188C675501",1)</f>
        <v>=DISPIMG("ID_03C009A42AAC4191A7394F188C675501",1)</v>
      </c>
      <c r="D128" s="12" t="s">
        <v>346</v>
      </c>
      <c r="E128" s="12"/>
      <c r="F128" s="12" t="s">
        <v>347</v>
      </c>
      <c r="G128" s="15">
        <v>160</v>
      </c>
      <c r="H128" s="15">
        <f t="shared" ref="H128:H134" si="21">O128</f>
        <v>77.67</v>
      </c>
      <c r="I128" s="15">
        <f t="shared" ref="I128:I134" si="22">ROUND(G128*H128,2)</f>
        <v>12427.2</v>
      </c>
      <c r="J128" s="12"/>
      <c r="L128" s="5">
        <v>80</v>
      </c>
      <c r="M128" s="5">
        <v>78</v>
      </c>
      <c r="N128" s="5">
        <v>75</v>
      </c>
      <c r="O128" s="28">
        <f t="shared" ref="O128:O134" si="23">ROUND((L128+M128+N128)/3,2)</f>
        <v>77.67</v>
      </c>
      <c r="P128" s="28" t="e">
        <f>#REF!*O128</f>
        <v>#REF!</v>
      </c>
    </row>
    <row r="129" ht="80" customHeight="1" outlineLevel="1" spans="1:16">
      <c r="A129" s="12">
        <v>2</v>
      </c>
      <c r="B129" s="12" t="s">
        <v>348</v>
      </c>
      <c r="C129" s="34" t="str">
        <f>_xlfn.DISPIMG("ID_5926141C312D4A17A8F9E60F879C904E",1)</f>
        <v>=DISPIMG("ID_5926141C312D4A17A8F9E60F879C904E",1)</v>
      </c>
      <c r="D129" s="12" t="s">
        <v>349</v>
      </c>
      <c r="E129" s="12"/>
      <c r="F129" s="12" t="s">
        <v>347</v>
      </c>
      <c r="G129" s="15">
        <v>800</v>
      </c>
      <c r="H129" s="15">
        <f t="shared" si="21"/>
        <v>44.33</v>
      </c>
      <c r="I129" s="15">
        <f t="shared" si="22"/>
        <v>35464</v>
      </c>
      <c r="J129" s="12"/>
      <c r="L129" s="5">
        <v>45</v>
      </c>
      <c r="M129" s="5">
        <v>39</v>
      </c>
      <c r="N129" s="5">
        <v>49</v>
      </c>
      <c r="O129" s="28">
        <f t="shared" si="23"/>
        <v>44.33</v>
      </c>
      <c r="P129" s="28" t="e">
        <f>#REF!*O129</f>
        <v>#REF!</v>
      </c>
    </row>
    <row r="130" ht="80" customHeight="1" outlineLevel="1" spans="1:16">
      <c r="A130" s="12">
        <v>3</v>
      </c>
      <c r="B130" s="12" t="s">
        <v>350</v>
      </c>
      <c r="C130" s="34" t="str">
        <f>_xlfn.DISPIMG("ID_F570F077325E4A25A3A33DBEEAB9373D",1)</f>
        <v>=DISPIMG("ID_F570F077325E4A25A3A33DBEEAB9373D",1)</v>
      </c>
      <c r="D130" s="12" t="s">
        <v>351</v>
      </c>
      <c r="E130" s="12"/>
      <c r="F130" s="12" t="s">
        <v>352</v>
      </c>
      <c r="G130" s="15">
        <v>19</v>
      </c>
      <c r="H130" s="15">
        <f t="shared" si="21"/>
        <v>616.67</v>
      </c>
      <c r="I130" s="15">
        <f t="shared" si="22"/>
        <v>11716.73</v>
      </c>
      <c r="J130" s="12"/>
      <c r="L130" s="5">
        <v>500</v>
      </c>
      <c r="M130" s="5">
        <v>650</v>
      </c>
      <c r="N130" s="5">
        <v>700</v>
      </c>
      <c r="O130" s="28">
        <f t="shared" si="23"/>
        <v>616.67</v>
      </c>
      <c r="P130" s="28" t="e">
        <f>#REF!*O130</f>
        <v>#REF!</v>
      </c>
    </row>
    <row r="131" ht="80" customHeight="1" outlineLevel="1" spans="1:16">
      <c r="A131" s="12">
        <v>4</v>
      </c>
      <c r="B131" s="12" t="s">
        <v>353</v>
      </c>
      <c r="C131" s="35" t="str">
        <f>_xlfn.DISPIMG("ID_FD8E2A6F87AC411C90B102EF42545BF6",1)</f>
        <v>=DISPIMG("ID_FD8E2A6F87AC411C90B102EF42545BF6",1)</v>
      </c>
      <c r="D131" s="12" t="s">
        <v>354</v>
      </c>
      <c r="E131" s="12"/>
      <c r="F131" s="12" t="s">
        <v>347</v>
      </c>
      <c r="G131" s="15">
        <v>420</v>
      </c>
      <c r="H131" s="15">
        <f t="shared" si="21"/>
        <v>35</v>
      </c>
      <c r="I131" s="15">
        <f t="shared" si="22"/>
        <v>14700</v>
      </c>
      <c r="J131" s="12"/>
      <c r="L131" s="5">
        <v>35</v>
      </c>
      <c r="M131" s="5">
        <v>30</v>
      </c>
      <c r="N131" s="5">
        <v>40</v>
      </c>
      <c r="O131" s="28">
        <f t="shared" si="23"/>
        <v>35</v>
      </c>
      <c r="P131" s="28" t="e">
        <f>#REF!*O131</f>
        <v>#REF!</v>
      </c>
    </row>
    <row r="132" s="2" customFormat="1" ht="80" customHeight="1" outlineLevel="1" spans="1:16">
      <c r="A132" s="12">
        <v>5</v>
      </c>
      <c r="B132" s="12" t="s">
        <v>355</v>
      </c>
      <c r="C132" s="35" t="str">
        <f>_xlfn.DISPIMG("ID_36EA358960B94A64A85366E30E81F380",1)</f>
        <v>=DISPIMG("ID_36EA358960B94A64A85366E30E81F380",1)</v>
      </c>
      <c r="D132" s="12" t="s">
        <v>356</v>
      </c>
      <c r="E132" s="12"/>
      <c r="F132" s="12" t="s">
        <v>347</v>
      </c>
      <c r="G132" s="15">
        <v>39</v>
      </c>
      <c r="H132" s="15">
        <f t="shared" si="21"/>
        <v>34.33</v>
      </c>
      <c r="I132" s="15">
        <f t="shared" si="22"/>
        <v>1338.87</v>
      </c>
      <c r="J132" s="12"/>
      <c r="L132" s="5">
        <v>35</v>
      </c>
      <c r="M132" s="5">
        <v>30</v>
      </c>
      <c r="N132" s="5">
        <v>38</v>
      </c>
      <c r="O132" s="28">
        <f t="shared" si="23"/>
        <v>34.33</v>
      </c>
      <c r="P132" s="28" t="e">
        <f>#REF!*O132</f>
        <v>#REF!</v>
      </c>
    </row>
    <row r="133" ht="80" customHeight="1" outlineLevel="1" spans="1:16">
      <c r="A133" s="12">
        <v>6</v>
      </c>
      <c r="B133" s="12" t="s">
        <v>357</v>
      </c>
      <c r="C133" s="34" t="str">
        <f>_xlfn.DISPIMG("ID_207A19DF628F4A63A6AE172D8DECB130",1)</f>
        <v>=DISPIMG("ID_207A19DF628F4A63A6AE172D8DECB130",1)</v>
      </c>
      <c r="D133" s="12" t="s">
        <v>358</v>
      </c>
      <c r="E133" s="12"/>
      <c r="F133" s="12" t="s">
        <v>347</v>
      </c>
      <c r="G133" s="15">
        <v>39</v>
      </c>
      <c r="H133" s="15">
        <f t="shared" si="21"/>
        <v>18</v>
      </c>
      <c r="I133" s="15">
        <f t="shared" si="22"/>
        <v>702</v>
      </c>
      <c r="J133" s="12"/>
      <c r="L133" s="5">
        <v>15</v>
      </c>
      <c r="M133" s="5">
        <v>18</v>
      </c>
      <c r="N133" s="5">
        <v>21</v>
      </c>
      <c r="O133" s="28">
        <f t="shared" si="23"/>
        <v>18</v>
      </c>
      <c r="P133" s="28" t="e">
        <f>#REF!*O133</f>
        <v>#REF!</v>
      </c>
    </row>
    <row r="134" ht="80" customHeight="1" outlineLevel="1" spans="1:16">
      <c r="A134" s="12">
        <v>7</v>
      </c>
      <c r="B134" s="12" t="s">
        <v>359</v>
      </c>
      <c r="C134" s="34" t="str">
        <f>_xlfn.DISPIMG("ID_8F80D28AD1144CD1B6EE0A2FF344E612",1)</f>
        <v>=DISPIMG("ID_8F80D28AD1144CD1B6EE0A2FF344E612",1)</v>
      </c>
      <c r="D134" s="12" t="s">
        <v>360</v>
      </c>
      <c r="E134" s="12"/>
      <c r="F134" s="12" t="s">
        <v>361</v>
      </c>
      <c r="G134" s="15">
        <v>12</v>
      </c>
      <c r="H134" s="15">
        <f t="shared" si="21"/>
        <v>168.33</v>
      </c>
      <c r="I134" s="15">
        <f t="shared" si="22"/>
        <v>2019.96</v>
      </c>
      <c r="J134" s="12"/>
      <c r="L134" s="5">
        <v>150</v>
      </c>
      <c r="M134" s="5">
        <v>175</v>
      </c>
      <c r="N134" s="5">
        <v>180</v>
      </c>
      <c r="O134" s="28">
        <f t="shared" si="23"/>
        <v>168.33</v>
      </c>
      <c r="P134" s="28" t="e">
        <f>#REF!*O134</f>
        <v>#REF!</v>
      </c>
    </row>
    <row r="135" s="1" customFormat="1" ht="43" customHeight="1" spans="1:16">
      <c r="A135" s="8" t="s">
        <v>362</v>
      </c>
      <c r="B135" s="8" t="s">
        <v>363</v>
      </c>
      <c r="C135" s="8"/>
      <c r="D135" s="8"/>
      <c r="E135" s="8"/>
      <c r="F135" s="24"/>
      <c r="G135" s="10"/>
      <c r="H135" s="10"/>
      <c r="I135" s="10">
        <f>SUM(I136:I139)</f>
        <v>611623.73</v>
      </c>
      <c r="J135" s="26"/>
      <c r="L135" s="27"/>
      <c r="M135" s="27"/>
      <c r="N135" s="27"/>
      <c r="O135" s="28"/>
      <c r="P135" s="28"/>
    </row>
    <row r="136" s="2" customFormat="1" ht="80" customHeight="1" outlineLevel="1" spans="1:16">
      <c r="A136" s="12">
        <v>1</v>
      </c>
      <c r="B136" s="12" t="s">
        <v>364</v>
      </c>
      <c r="C136" s="12"/>
      <c r="D136" s="12" t="s">
        <v>365</v>
      </c>
      <c r="E136" s="12" t="s">
        <v>366</v>
      </c>
      <c r="F136" s="14" t="s">
        <v>180</v>
      </c>
      <c r="G136" s="15">
        <v>6</v>
      </c>
      <c r="H136" s="15">
        <f t="shared" ref="H136:H139" si="24">O136</f>
        <v>2300</v>
      </c>
      <c r="I136" s="15">
        <f t="shared" ref="I136:I139" si="25">ROUND(G136*H136,2)</f>
        <v>13800</v>
      </c>
      <c r="J136" s="12"/>
      <c r="L136" s="5">
        <v>2300</v>
      </c>
      <c r="M136" s="5">
        <v>2100</v>
      </c>
      <c r="N136" s="5">
        <v>2500</v>
      </c>
      <c r="O136" s="28">
        <f t="shared" ref="O136:O139" si="26">ROUND((L136+M136+N136)/3,2)</f>
        <v>2300</v>
      </c>
      <c r="P136" s="28" t="e">
        <f>#REF!*O136</f>
        <v>#REF!</v>
      </c>
    </row>
    <row r="137" s="2" customFormat="1" ht="80" customHeight="1" outlineLevel="1" spans="1:16">
      <c r="A137" s="12">
        <v>2</v>
      </c>
      <c r="B137" s="12" t="s">
        <v>367</v>
      </c>
      <c r="C137" s="12"/>
      <c r="D137" s="12" t="s">
        <v>368</v>
      </c>
      <c r="E137" s="12" t="s">
        <v>369</v>
      </c>
      <c r="F137" s="14" t="s">
        <v>180</v>
      </c>
      <c r="G137" s="15">
        <v>116</v>
      </c>
      <c r="H137" s="15">
        <f t="shared" si="24"/>
        <v>4056.67</v>
      </c>
      <c r="I137" s="15">
        <f t="shared" si="25"/>
        <v>470573.72</v>
      </c>
      <c r="J137" s="12"/>
      <c r="L137" s="5">
        <v>3980</v>
      </c>
      <c r="M137" s="5">
        <v>3890</v>
      </c>
      <c r="N137" s="5">
        <v>4300</v>
      </c>
      <c r="O137" s="28">
        <f t="shared" si="26"/>
        <v>4056.67</v>
      </c>
      <c r="P137" s="28" t="e">
        <f>#REF!*O137</f>
        <v>#REF!</v>
      </c>
    </row>
    <row r="138" s="2" customFormat="1" ht="80" customHeight="1" outlineLevel="1" spans="1:16">
      <c r="A138" s="12">
        <v>3</v>
      </c>
      <c r="B138" s="12" t="s">
        <v>370</v>
      </c>
      <c r="C138" s="12"/>
      <c r="D138" s="12" t="s">
        <v>371</v>
      </c>
      <c r="E138" s="12" t="s">
        <v>372</v>
      </c>
      <c r="F138" s="14" t="s">
        <v>180</v>
      </c>
      <c r="G138" s="15">
        <v>3</v>
      </c>
      <c r="H138" s="15">
        <f t="shared" si="24"/>
        <v>5496.67</v>
      </c>
      <c r="I138" s="15">
        <f t="shared" si="25"/>
        <v>16490.01</v>
      </c>
      <c r="J138" s="12"/>
      <c r="L138" s="5">
        <v>5190</v>
      </c>
      <c r="M138" s="5">
        <v>5500</v>
      </c>
      <c r="N138" s="5">
        <v>5800</v>
      </c>
      <c r="O138" s="28">
        <f t="shared" si="26"/>
        <v>5496.67</v>
      </c>
      <c r="P138" s="28" t="e">
        <f>#REF!*O138</f>
        <v>#REF!</v>
      </c>
    </row>
    <row r="139" s="2" customFormat="1" ht="80" customHeight="1" outlineLevel="1" spans="1:16">
      <c r="A139" s="12">
        <v>4</v>
      </c>
      <c r="B139" s="12" t="s">
        <v>373</v>
      </c>
      <c r="C139" s="12"/>
      <c r="D139" s="12" t="s">
        <v>374</v>
      </c>
      <c r="E139" s="12" t="s">
        <v>375</v>
      </c>
      <c r="F139" s="14" t="s">
        <v>180</v>
      </c>
      <c r="G139" s="15">
        <v>12</v>
      </c>
      <c r="H139" s="15">
        <f t="shared" si="24"/>
        <v>9230</v>
      </c>
      <c r="I139" s="15">
        <f t="shared" si="25"/>
        <v>110760</v>
      </c>
      <c r="J139" s="12"/>
      <c r="L139" s="5">
        <v>9600</v>
      </c>
      <c r="M139" s="5">
        <v>8790</v>
      </c>
      <c r="N139" s="5">
        <v>9300</v>
      </c>
      <c r="O139" s="28">
        <f t="shared" si="26"/>
        <v>9230</v>
      </c>
      <c r="P139" s="28" t="e">
        <f>#REF!*O139</f>
        <v>#REF!</v>
      </c>
    </row>
    <row r="140" s="1" customFormat="1" ht="43" customHeight="1" spans="1:16">
      <c r="A140" s="8" t="s">
        <v>376</v>
      </c>
      <c r="B140" s="8" t="s">
        <v>377</v>
      </c>
      <c r="C140" s="8"/>
      <c r="D140" s="8"/>
      <c r="E140" s="8"/>
      <c r="F140" s="24"/>
      <c r="G140" s="10"/>
      <c r="H140" s="10"/>
      <c r="I140" s="10">
        <f>SUM(I141:I164)</f>
        <v>114930.19</v>
      </c>
      <c r="J140" s="26"/>
      <c r="K140" s="1" t="e">
        <f>#REF!-#REF!-#REF!-#REF!</f>
        <v>#REF!</v>
      </c>
      <c r="L140" s="27"/>
      <c r="M140" s="27"/>
      <c r="N140" s="27"/>
      <c r="O140" s="28"/>
      <c r="P140" s="28"/>
    </row>
    <row r="141" ht="80" customHeight="1" outlineLevel="1" spans="1:16">
      <c r="A141" s="12">
        <v>1</v>
      </c>
      <c r="B141" s="12"/>
      <c r="C141" s="12"/>
      <c r="D141" s="12"/>
      <c r="E141" s="12"/>
      <c r="F141" s="14"/>
      <c r="G141" s="15"/>
      <c r="H141" s="15"/>
      <c r="I141" s="15"/>
      <c r="J141" s="12"/>
      <c r="O141" s="28">
        <f t="shared" ref="O141:O164" si="27">ROUND((L141+M141+N141)/3,2)</f>
        <v>0</v>
      </c>
      <c r="P141" s="28" t="e">
        <f>#REF!*O141</f>
        <v>#REF!</v>
      </c>
    </row>
    <row r="142" s="2" customFormat="1" ht="300.75" outlineLevel="1" spans="1:16">
      <c r="A142" s="12">
        <v>1.1</v>
      </c>
      <c r="B142" s="12" t="s">
        <v>378</v>
      </c>
      <c r="C142" s="12"/>
      <c r="D142" s="12" t="s">
        <v>379</v>
      </c>
      <c r="E142" s="12"/>
      <c r="F142" s="14" t="s">
        <v>56</v>
      </c>
      <c r="G142" s="15">
        <v>17</v>
      </c>
      <c r="H142" s="15">
        <v>413.33</v>
      </c>
      <c r="I142" s="15">
        <f t="shared" ref="I142:I148" si="28">ROUND(G142*H142,2)</f>
        <v>7026.61</v>
      </c>
      <c r="J142" s="12"/>
      <c r="L142" s="5">
        <v>350</v>
      </c>
      <c r="M142" s="5">
        <v>480</v>
      </c>
      <c r="N142" s="5">
        <v>410</v>
      </c>
      <c r="O142" s="28">
        <f t="shared" si="27"/>
        <v>413.33</v>
      </c>
      <c r="P142" s="28" t="e">
        <f>#REF!*O142</f>
        <v>#REF!</v>
      </c>
    </row>
    <row r="143" ht="396.75" outlineLevel="1" spans="1:16">
      <c r="A143" s="12">
        <v>1.2</v>
      </c>
      <c r="B143" s="12" t="s">
        <v>380</v>
      </c>
      <c r="C143" s="12"/>
      <c r="D143" s="12" t="s">
        <v>381</v>
      </c>
      <c r="E143" s="12"/>
      <c r="F143" s="14" t="s">
        <v>56</v>
      </c>
      <c r="G143" s="15">
        <v>2</v>
      </c>
      <c r="H143" s="15">
        <v>2321.67</v>
      </c>
      <c r="I143" s="15">
        <f t="shared" si="28"/>
        <v>4643.34</v>
      </c>
      <c r="J143" s="12"/>
      <c r="L143" s="5">
        <v>2300</v>
      </c>
      <c r="M143" s="5">
        <v>2215</v>
      </c>
      <c r="N143" s="5">
        <v>2450</v>
      </c>
      <c r="O143" s="28">
        <f t="shared" si="27"/>
        <v>2321.67</v>
      </c>
      <c r="P143" s="28" t="e">
        <f>#REF!*O143</f>
        <v>#REF!</v>
      </c>
    </row>
    <row r="144" s="2" customFormat="1" ht="349.5" outlineLevel="1" spans="1:16">
      <c r="A144" s="12">
        <v>1.3</v>
      </c>
      <c r="B144" s="12" t="s">
        <v>382</v>
      </c>
      <c r="C144" s="12"/>
      <c r="D144" s="12" t="s">
        <v>383</v>
      </c>
      <c r="E144" s="12"/>
      <c r="F144" s="14" t="s">
        <v>56</v>
      </c>
      <c r="G144" s="15">
        <v>35</v>
      </c>
      <c r="H144" s="15">
        <v>523.33</v>
      </c>
      <c r="I144" s="15">
        <f t="shared" si="28"/>
        <v>18316.55</v>
      </c>
      <c r="J144" s="12"/>
      <c r="L144" s="5">
        <v>500</v>
      </c>
      <c r="M144" s="5">
        <v>490</v>
      </c>
      <c r="N144" s="5">
        <v>580</v>
      </c>
      <c r="O144" s="28">
        <f t="shared" si="27"/>
        <v>523.33</v>
      </c>
      <c r="P144" s="28" t="e">
        <f>#REF!*O144</f>
        <v>#REF!</v>
      </c>
    </row>
    <row r="145" ht="80" customHeight="1" outlineLevel="1" spans="1:16">
      <c r="A145" s="12">
        <v>1.4</v>
      </c>
      <c r="B145" s="12" t="s">
        <v>384</v>
      </c>
      <c r="C145" s="12"/>
      <c r="D145" s="12" t="s">
        <v>385</v>
      </c>
      <c r="E145" s="12"/>
      <c r="F145" s="14" t="s">
        <v>56</v>
      </c>
      <c r="G145" s="15">
        <v>17</v>
      </c>
      <c r="H145" s="15">
        <v>40</v>
      </c>
      <c r="I145" s="15">
        <f t="shared" si="28"/>
        <v>680</v>
      </c>
      <c r="J145" s="12"/>
      <c r="L145" s="5">
        <v>35</v>
      </c>
      <c r="M145" s="5">
        <v>40</v>
      </c>
      <c r="N145" s="5">
        <v>45</v>
      </c>
      <c r="O145" s="28">
        <f t="shared" si="27"/>
        <v>40</v>
      </c>
      <c r="P145" s="28" t="e">
        <f>#REF!*O145</f>
        <v>#REF!</v>
      </c>
    </row>
    <row r="146" ht="80" customHeight="1" outlineLevel="1" spans="1:16">
      <c r="A146" s="12">
        <v>1.5</v>
      </c>
      <c r="B146" s="12" t="s">
        <v>386</v>
      </c>
      <c r="C146" s="12"/>
      <c r="D146" s="12" t="s">
        <v>387</v>
      </c>
      <c r="E146" s="12"/>
      <c r="F146" s="14" t="s">
        <v>56</v>
      </c>
      <c r="G146" s="15">
        <v>2</v>
      </c>
      <c r="H146" s="15">
        <v>123.33</v>
      </c>
      <c r="I146" s="15">
        <f t="shared" si="28"/>
        <v>246.66</v>
      </c>
      <c r="J146" s="12"/>
      <c r="L146" s="5">
        <v>100</v>
      </c>
      <c r="M146" s="5">
        <v>150</v>
      </c>
      <c r="N146" s="5">
        <v>120</v>
      </c>
      <c r="O146" s="28">
        <f t="shared" si="27"/>
        <v>123.33</v>
      </c>
      <c r="P146" s="28" t="e">
        <f>#REF!*O146</f>
        <v>#REF!</v>
      </c>
    </row>
    <row r="147" ht="80" customHeight="1" outlineLevel="1" spans="1:16">
      <c r="A147" s="12">
        <v>1.6</v>
      </c>
      <c r="B147" s="12" t="s">
        <v>388</v>
      </c>
      <c r="C147" s="12"/>
      <c r="D147" s="12" t="s">
        <v>389</v>
      </c>
      <c r="E147" s="12"/>
      <c r="F147" s="14" t="s">
        <v>56</v>
      </c>
      <c r="G147" s="15">
        <v>15</v>
      </c>
      <c r="H147" s="15">
        <v>423.33</v>
      </c>
      <c r="I147" s="15">
        <f t="shared" si="28"/>
        <v>6349.95</v>
      </c>
      <c r="J147" s="12"/>
      <c r="L147" s="5">
        <v>420</v>
      </c>
      <c r="M147" s="5">
        <v>450</v>
      </c>
      <c r="N147" s="5">
        <v>400</v>
      </c>
      <c r="O147" s="28">
        <f t="shared" si="27"/>
        <v>423.33</v>
      </c>
      <c r="P147" s="28" t="e">
        <f>#REF!*O147</f>
        <v>#REF!</v>
      </c>
    </row>
    <row r="148" ht="80" customHeight="1" outlineLevel="1" spans="1:16">
      <c r="A148" s="12">
        <v>1.7</v>
      </c>
      <c r="B148" s="12" t="s">
        <v>390</v>
      </c>
      <c r="C148" s="12"/>
      <c r="D148" s="12" t="s">
        <v>391</v>
      </c>
      <c r="E148" s="12"/>
      <c r="F148" s="14" t="s">
        <v>56</v>
      </c>
      <c r="G148" s="15">
        <v>15</v>
      </c>
      <c r="H148" s="15">
        <v>78.33</v>
      </c>
      <c r="I148" s="15">
        <f t="shared" si="28"/>
        <v>1174.95</v>
      </c>
      <c r="J148" s="12"/>
      <c r="L148" s="5">
        <v>80</v>
      </c>
      <c r="M148" s="5">
        <v>70</v>
      </c>
      <c r="N148" s="5">
        <v>85</v>
      </c>
      <c r="O148" s="28">
        <f t="shared" si="27"/>
        <v>78.33</v>
      </c>
      <c r="P148" s="28" t="e">
        <f>#REF!*O148</f>
        <v>#REF!</v>
      </c>
    </row>
    <row r="149" ht="80" customHeight="1" outlineLevel="1" spans="1:16">
      <c r="A149" s="12">
        <v>2</v>
      </c>
      <c r="B149" s="12"/>
      <c r="C149" s="12"/>
      <c r="D149" s="12"/>
      <c r="E149" s="12"/>
      <c r="F149" s="14"/>
      <c r="G149" s="15"/>
      <c r="H149" s="15"/>
      <c r="I149" s="15"/>
      <c r="J149" s="12"/>
      <c r="O149" s="28">
        <f t="shared" si="27"/>
        <v>0</v>
      </c>
      <c r="P149" s="28" t="e">
        <f>#REF!*O149</f>
        <v>#REF!</v>
      </c>
    </row>
    <row r="150" ht="192" outlineLevel="1" spans="1:16">
      <c r="A150" s="12">
        <v>2.1</v>
      </c>
      <c r="B150" s="12" t="s">
        <v>392</v>
      </c>
      <c r="C150" s="12"/>
      <c r="D150" s="12" t="s">
        <v>393</v>
      </c>
      <c r="E150" s="12"/>
      <c r="F150" s="14" t="s">
        <v>180</v>
      </c>
      <c r="G150" s="15">
        <v>1</v>
      </c>
      <c r="H150" s="15">
        <v>14466.67</v>
      </c>
      <c r="I150" s="15">
        <f t="shared" ref="I150:I152" si="29">ROUND(G150*H150,2)</f>
        <v>14466.67</v>
      </c>
      <c r="J150" s="12"/>
      <c r="L150" s="5">
        <v>13900</v>
      </c>
      <c r="M150" s="5">
        <v>14500</v>
      </c>
      <c r="N150" s="5">
        <v>15000</v>
      </c>
      <c r="O150" s="28">
        <f t="shared" si="27"/>
        <v>14466.67</v>
      </c>
      <c r="P150" s="28" t="e">
        <f>#REF!*O150</f>
        <v>#REF!</v>
      </c>
    </row>
    <row r="151" ht="80" customHeight="1" outlineLevel="1" spans="1:16">
      <c r="A151" s="12">
        <v>2.2</v>
      </c>
      <c r="B151" s="12" t="s">
        <v>394</v>
      </c>
      <c r="C151" s="12"/>
      <c r="D151" s="12" t="s">
        <v>395</v>
      </c>
      <c r="E151" s="12"/>
      <c r="F151" s="14" t="s">
        <v>180</v>
      </c>
      <c r="G151" s="15">
        <v>1</v>
      </c>
      <c r="H151" s="15">
        <v>2880</v>
      </c>
      <c r="I151" s="15">
        <f t="shared" si="29"/>
        <v>2880</v>
      </c>
      <c r="J151" s="12"/>
      <c r="L151" s="5">
        <v>2860</v>
      </c>
      <c r="M151" s="5">
        <v>2990</v>
      </c>
      <c r="N151" s="5">
        <v>2790</v>
      </c>
      <c r="O151" s="28">
        <f t="shared" si="27"/>
        <v>2880</v>
      </c>
      <c r="P151" s="28" t="e">
        <f>#REF!*O151</f>
        <v>#REF!</v>
      </c>
    </row>
    <row r="152" ht="80" customHeight="1" outlineLevel="1" spans="1:16">
      <c r="A152" s="12">
        <v>2.3</v>
      </c>
      <c r="B152" s="12" t="s">
        <v>396</v>
      </c>
      <c r="C152" s="12"/>
      <c r="D152" s="12" t="s">
        <v>397</v>
      </c>
      <c r="E152" s="12"/>
      <c r="F152" s="14" t="s">
        <v>180</v>
      </c>
      <c r="G152" s="15">
        <v>1</v>
      </c>
      <c r="H152" s="15">
        <v>1058.67</v>
      </c>
      <c r="I152" s="15">
        <f t="shared" si="29"/>
        <v>1058.67</v>
      </c>
      <c r="J152" s="12"/>
      <c r="L152" s="5">
        <v>1086</v>
      </c>
      <c r="M152" s="5">
        <v>1100</v>
      </c>
      <c r="N152" s="5">
        <v>990</v>
      </c>
      <c r="O152" s="28">
        <f t="shared" si="27"/>
        <v>1058.67</v>
      </c>
      <c r="P152" s="28" t="e">
        <f>#REF!*O152</f>
        <v>#REF!</v>
      </c>
    </row>
    <row r="153" ht="80" customHeight="1" outlineLevel="1" spans="1:16">
      <c r="A153" s="12">
        <v>3</v>
      </c>
      <c r="B153" s="12"/>
      <c r="C153" s="12"/>
      <c r="D153" s="12"/>
      <c r="E153" s="12"/>
      <c r="F153" s="14"/>
      <c r="G153" s="15"/>
      <c r="H153" s="15"/>
      <c r="I153" s="15"/>
      <c r="J153" s="12"/>
      <c r="O153" s="28">
        <f t="shared" si="27"/>
        <v>0</v>
      </c>
      <c r="P153" s="28" t="e">
        <f>#REF!*O153</f>
        <v>#REF!</v>
      </c>
    </row>
    <row r="154" ht="80" customHeight="1" outlineLevel="1" spans="1:16">
      <c r="A154" s="12">
        <v>3.1</v>
      </c>
      <c r="B154" s="12" t="s">
        <v>398</v>
      </c>
      <c r="C154" s="12"/>
      <c r="D154" s="12" t="s">
        <v>399</v>
      </c>
      <c r="E154" s="12"/>
      <c r="F154" s="14" t="s">
        <v>56</v>
      </c>
      <c r="G154" s="15">
        <v>52</v>
      </c>
      <c r="H154" s="15">
        <v>44</v>
      </c>
      <c r="I154" s="15">
        <f t="shared" ref="I154:I164" si="30">ROUND(G154*H154,2)</f>
        <v>2288</v>
      </c>
      <c r="J154" s="12"/>
      <c r="L154" s="5">
        <v>40</v>
      </c>
      <c r="M154" s="5">
        <v>48</v>
      </c>
      <c r="N154" s="5">
        <v>44</v>
      </c>
      <c r="O154" s="28">
        <f t="shared" si="27"/>
        <v>44</v>
      </c>
      <c r="P154" s="28" t="e">
        <f>#REF!*O154</f>
        <v>#REF!</v>
      </c>
    </row>
    <row r="155" ht="132" outlineLevel="1" spans="1:16">
      <c r="A155" s="12">
        <v>3.2</v>
      </c>
      <c r="B155" s="12" t="s">
        <v>400</v>
      </c>
      <c r="C155" s="12"/>
      <c r="D155" s="12" t="s">
        <v>401</v>
      </c>
      <c r="E155" s="12"/>
      <c r="F155" s="14" t="s">
        <v>56</v>
      </c>
      <c r="G155" s="15">
        <v>2</v>
      </c>
      <c r="H155" s="15">
        <v>147.67</v>
      </c>
      <c r="I155" s="15">
        <f t="shared" si="30"/>
        <v>295.34</v>
      </c>
      <c r="J155" s="12"/>
      <c r="L155" s="5">
        <v>155</v>
      </c>
      <c r="M155" s="5">
        <v>148</v>
      </c>
      <c r="N155" s="5">
        <v>140</v>
      </c>
      <c r="O155" s="28">
        <f t="shared" si="27"/>
        <v>147.67</v>
      </c>
      <c r="P155" s="28" t="e">
        <f>#REF!*O155</f>
        <v>#REF!</v>
      </c>
    </row>
    <row r="156" ht="80" customHeight="1" outlineLevel="1" spans="1:16">
      <c r="A156" s="12">
        <v>3.3</v>
      </c>
      <c r="B156" s="12" t="s">
        <v>402</v>
      </c>
      <c r="C156" s="12"/>
      <c r="D156" s="12" t="s">
        <v>403</v>
      </c>
      <c r="E156" s="12"/>
      <c r="F156" s="14" t="s">
        <v>404</v>
      </c>
      <c r="G156" s="15">
        <v>25</v>
      </c>
      <c r="H156" s="15">
        <v>820</v>
      </c>
      <c r="I156" s="15">
        <f t="shared" si="30"/>
        <v>20500</v>
      </c>
      <c r="J156" s="12"/>
      <c r="L156" s="5">
        <v>800</v>
      </c>
      <c r="M156" s="5">
        <v>820</v>
      </c>
      <c r="N156" s="5">
        <v>840</v>
      </c>
      <c r="O156" s="28">
        <f t="shared" si="27"/>
        <v>820</v>
      </c>
      <c r="P156" s="28" t="e">
        <f>#REF!*O156</f>
        <v>#REF!</v>
      </c>
    </row>
    <row r="157" ht="80" customHeight="1" outlineLevel="1" spans="1:16">
      <c r="A157" s="12">
        <v>3.4</v>
      </c>
      <c r="B157" s="12" t="s">
        <v>405</v>
      </c>
      <c r="C157" s="12"/>
      <c r="D157" s="12" t="s">
        <v>406</v>
      </c>
      <c r="E157" s="12"/>
      <c r="F157" s="14" t="s">
        <v>295</v>
      </c>
      <c r="G157" s="15">
        <v>6000</v>
      </c>
      <c r="H157" s="15">
        <v>3.17</v>
      </c>
      <c r="I157" s="15">
        <f t="shared" si="30"/>
        <v>19020</v>
      </c>
      <c r="J157" s="12"/>
      <c r="L157" s="5">
        <v>3.2</v>
      </c>
      <c r="M157" s="5">
        <v>3</v>
      </c>
      <c r="N157" s="5">
        <v>3.3</v>
      </c>
      <c r="O157" s="28">
        <f t="shared" si="27"/>
        <v>3.17</v>
      </c>
      <c r="P157" s="28" t="e">
        <f>#REF!*O157</f>
        <v>#REF!</v>
      </c>
    </row>
    <row r="158" ht="80" customHeight="1" outlineLevel="1" spans="1:16">
      <c r="A158" s="12">
        <v>3.5</v>
      </c>
      <c r="B158" s="12" t="s">
        <v>407</v>
      </c>
      <c r="C158" s="12"/>
      <c r="D158" s="12" t="s">
        <v>408</v>
      </c>
      <c r="E158" s="12"/>
      <c r="F158" s="14" t="s">
        <v>295</v>
      </c>
      <c r="G158" s="15">
        <v>3000</v>
      </c>
      <c r="H158" s="15">
        <v>2</v>
      </c>
      <c r="I158" s="15">
        <f t="shared" si="30"/>
        <v>6000</v>
      </c>
      <c r="J158" s="12"/>
      <c r="L158" s="5">
        <v>2</v>
      </c>
      <c r="M158" s="5">
        <v>2</v>
      </c>
      <c r="N158" s="5">
        <v>2</v>
      </c>
      <c r="O158" s="28">
        <f t="shared" si="27"/>
        <v>2</v>
      </c>
      <c r="P158" s="28" t="e">
        <f>#REF!*O158</f>
        <v>#REF!</v>
      </c>
    </row>
    <row r="159" ht="108" outlineLevel="1" spans="1:16">
      <c r="A159" s="12">
        <v>3.6</v>
      </c>
      <c r="B159" s="12" t="s">
        <v>409</v>
      </c>
      <c r="C159" s="12"/>
      <c r="D159" s="12" t="s">
        <v>410</v>
      </c>
      <c r="E159" s="12"/>
      <c r="F159" s="14" t="s">
        <v>56</v>
      </c>
      <c r="G159" s="15">
        <v>4</v>
      </c>
      <c r="H159" s="15">
        <v>1230</v>
      </c>
      <c r="I159" s="15">
        <f t="shared" si="30"/>
        <v>4920</v>
      </c>
      <c r="J159" s="12"/>
      <c r="L159" s="5">
        <v>1290</v>
      </c>
      <c r="M159" s="5">
        <v>1350</v>
      </c>
      <c r="N159" s="5">
        <v>1050</v>
      </c>
      <c r="O159" s="28">
        <f t="shared" si="27"/>
        <v>1230</v>
      </c>
      <c r="P159" s="28" t="e">
        <f>#REF!*O159</f>
        <v>#REF!</v>
      </c>
    </row>
    <row r="160" ht="80" customHeight="1" outlineLevel="1" spans="1:16">
      <c r="A160" s="12">
        <v>3.7</v>
      </c>
      <c r="B160" s="12" t="s">
        <v>411</v>
      </c>
      <c r="C160" s="12"/>
      <c r="D160" s="12"/>
      <c r="E160" s="12" t="s">
        <v>412</v>
      </c>
      <c r="F160" s="14" t="s">
        <v>56</v>
      </c>
      <c r="G160" s="15">
        <v>15</v>
      </c>
      <c r="H160" s="15">
        <v>84.67</v>
      </c>
      <c r="I160" s="15">
        <f t="shared" si="30"/>
        <v>1270.05</v>
      </c>
      <c r="J160" s="12"/>
      <c r="L160" s="5">
        <v>89</v>
      </c>
      <c r="M160" s="5">
        <v>75</v>
      </c>
      <c r="N160" s="5">
        <v>90</v>
      </c>
      <c r="O160" s="28">
        <f t="shared" si="27"/>
        <v>84.67</v>
      </c>
      <c r="P160" s="28" t="e">
        <f>#REF!*O160</f>
        <v>#REF!</v>
      </c>
    </row>
    <row r="161" ht="80" customHeight="1" outlineLevel="1" spans="1:16">
      <c r="A161" s="12">
        <v>3.8</v>
      </c>
      <c r="B161" s="12" t="s">
        <v>413</v>
      </c>
      <c r="C161" s="12"/>
      <c r="D161" s="12" t="s">
        <v>414</v>
      </c>
      <c r="E161" s="12"/>
      <c r="F161" s="14" t="s">
        <v>56</v>
      </c>
      <c r="G161" s="15">
        <v>20</v>
      </c>
      <c r="H161" s="15">
        <v>42.67</v>
      </c>
      <c r="I161" s="15">
        <f t="shared" si="30"/>
        <v>853.4</v>
      </c>
      <c r="J161" s="12"/>
      <c r="L161" s="5">
        <v>43</v>
      </c>
      <c r="M161" s="5">
        <v>45</v>
      </c>
      <c r="N161" s="5">
        <v>40</v>
      </c>
      <c r="O161" s="28">
        <f t="shared" si="27"/>
        <v>42.67</v>
      </c>
      <c r="P161" s="28" t="e">
        <f>#REF!*O161</f>
        <v>#REF!</v>
      </c>
    </row>
    <row r="162" ht="80" customHeight="1" outlineLevel="1" spans="1:16">
      <c r="A162" s="12">
        <v>3.9</v>
      </c>
      <c r="B162" s="12" t="s">
        <v>415</v>
      </c>
      <c r="C162" s="12"/>
      <c r="D162" s="12" t="s">
        <v>416</v>
      </c>
      <c r="E162" s="12"/>
      <c r="F162" s="14" t="s">
        <v>295</v>
      </c>
      <c r="G162" s="15">
        <v>2000</v>
      </c>
      <c r="H162" s="15">
        <v>1.47</v>
      </c>
      <c r="I162" s="15">
        <f t="shared" si="30"/>
        <v>2940</v>
      </c>
      <c r="J162" s="12"/>
      <c r="L162" s="5">
        <v>1.4</v>
      </c>
      <c r="M162" s="5">
        <v>1.5</v>
      </c>
      <c r="N162" s="5">
        <v>1.5</v>
      </c>
      <c r="O162" s="28">
        <f t="shared" si="27"/>
        <v>1.47</v>
      </c>
      <c r="P162" s="28" t="e">
        <f>#REF!*O162</f>
        <v>#REF!</v>
      </c>
    </row>
    <row r="163" ht="80" customHeight="1" outlineLevel="1" spans="1:16">
      <c r="A163" s="32">
        <v>3.1</v>
      </c>
      <c r="B163" s="12" t="s">
        <v>417</v>
      </c>
      <c r="C163" s="12"/>
      <c r="D163" s="12" t="s">
        <v>418</v>
      </c>
      <c r="E163" s="12"/>
      <c r="F163" s="14" t="s">
        <v>419</v>
      </c>
      <c r="G163" s="15">
        <v>1</v>
      </c>
      <c r="H163" s="15">
        <v>0</v>
      </c>
      <c r="I163" s="15">
        <f t="shared" si="30"/>
        <v>0</v>
      </c>
      <c r="J163" s="12"/>
      <c r="O163" s="28">
        <f t="shared" si="27"/>
        <v>0</v>
      </c>
      <c r="P163" s="28" t="e">
        <f>#REF!*O163</f>
        <v>#REF!</v>
      </c>
    </row>
    <row r="164" ht="80" customHeight="1" outlineLevel="1" spans="1:16">
      <c r="A164" s="12">
        <v>3.11</v>
      </c>
      <c r="B164" s="12" t="s">
        <v>420</v>
      </c>
      <c r="C164" s="12"/>
      <c r="D164" s="12"/>
      <c r="E164" s="12"/>
      <c r="F164" s="14" t="s">
        <v>88</v>
      </c>
      <c r="G164" s="15">
        <v>1</v>
      </c>
      <c r="H164" s="15">
        <v>0</v>
      </c>
      <c r="I164" s="15">
        <f t="shared" si="30"/>
        <v>0</v>
      </c>
      <c r="J164" s="12"/>
      <c r="O164" s="28">
        <f t="shared" si="27"/>
        <v>0</v>
      </c>
      <c r="P164" s="28" t="e">
        <f>#REF!*O164</f>
        <v>#REF!</v>
      </c>
    </row>
    <row r="165" s="1" customFormat="1" ht="43" customHeight="1" spans="1:16">
      <c r="A165" s="8" t="s">
        <v>421</v>
      </c>
      <c r="B165" s="8" t="s">
        <v>422</v>
      </c>
      <c r="C165" s="8"/>
      <c r="D165" s="8"/>
      <c r="E165" s="8"/>
      <c r="F165" s="24"/>
      <c r="G165" s="10"/>
      <c r="H165" s="10"/>
      <c r="I165" s="10">
        <f>SUM(I166:I191)</f>
        <v>80379.99</v>
      </c>
      <c r="J165" s="26"/>
      <c r="K165" s="1" t="e">
        <f>#REF!-#REF!-#REF!</f>
        <v>#REF!</v>
      </c>
      <c r="L165" s="27"/>
      <c r="M165" s="27"/>
      <c r="N165" s="27"/>
      <c r="O165" s="28"/>
      <c r="P165" s="28"/>
    </row>
    <row r="166" ht="80" customHeight="1" outlineLevel="1" spans="1:16">
      <c r="A166" s="12">
        <v>1</v>
      </c>
      <c r="B166" s="12" t="s">
        <v>423</v>
      </c>
      <c r="C166" s="12"/>
      <c r="D166" s="12"/>
      <c r="E166" s="12"/>
      <c r="F166" s="14"/>
      <c r="G166" s="15"/>
      <c r="H166" s="15"/>
      <c r="I166" s="15"/>
      <c r="J166" s="12"/>
      <c r="O166" s="28">
        <f t="shared" ref="O166:O191" si="31">ROUND((L166+M166+N166)/3,2)</f>
        <v>0</v>
      </c>
      <c r="P166" s="28" t="e">
        <f>#REF!*O166</f>
        <v>#REF!</v>
      </c>
    </row>
    <row r="167" ht="390" outlineLevel="1" spans="1:16">
      <c r="A167" s="12">
        <v>1.1</v>
      </c>
      <c r="B167" s="12" t="s">
        <v>424</v>
      </c>
      <c r="C167" s="12" t="str">
        <f>_xlfn.DISPIMG("ID_76670CB652AF4EC696E0D55D832DDAFC",1)</f>
        <v>=DISPIMG("ID_76670CB652AF4EC696E0D55D832DDAFC",1)</v>
      </c>
      <c r="D167" s="12" t="s">
        <v>425</v>
      </c>
      <c r="E167" s="12" t="s">
        <v>426</v>
      </c>
      <c r="F167" s="12" t="s">
        <v>180</v>
      </c>
      <c r="G167" s="15">
        <v>1</v>
      </c>
      <c r="H167" s="15">
        <v>2830</v>
      </c>
      <c r="I167" s="15">
        <f t="shared" ref="I167:I178" si="32">ROUND(G167*H167,2)</f>
        <v>2830</v>
      </c>
      <c r="J167" s="12"/>
      <c r="L167" s="5">
        <v>2780</v>
      </c>
      <c r="M167" s="5">
        <v>2900</v>
      </c>
      <c r="N167" s="5">
        <v>2810</v>
      </c>
      <c r="O167" s="28">
        <f t="shared" si="31"/>
        <v>2830</v>
      </c>
      <c r="P167" s="28" t="e">
        <f>#REF!*O167</f>
        <v>#REF!</v>
      </c>
    </row>
    <row r="168" ht="273" outlineLevel="1" spans="1:16">
      <c r="A168" s="12">
        <v>1.2</v>
      </c>
      <c r="B168" s="12" t="s">
        <v>427</v>
      </c>
      <c r="C168" s="12" t="str">
        <f>_xlfn.DISPIMG("ID_04E5EB97FCD34D84B38C031ADCF4C545",1)</f>
        <v>=DISPIMG("ID_04E5EB97FCD34D84B38C031ADCF4C545",1)</v>
      </c>
      <c r="D168" s="12" t="s">
        <v>428</v>
      </c>
      <c r="E168" s="12" t="s">
        <v>429</v>
      </c>
      <c r="F168" s="12" t="s">
        <v>430</v>
      </c>
      <c r="G168" s="15">
        <v>2</v>
      </c>
      <c r="H168" s="15">
        <v>5980</v>
      </c>
      <c r="I168" s="15">
        <f t="shared" si="32"/>
        <v>11960</v>
      </c>
      <c r="J168" s="12"/>
      <c r="L168" s="5">
        <v>5940</v>
      </c>
      <c r="M168" s="5">
        <v>5800</v>
      </c>
      <c r="N168" s="5">
        <v>6200</v>
      </c>
      <c r="O168" s="28">
        <f t="shared" si="31"/>
        <v>5980</v>
      </c>
      <c r="P168" s="28" t="e">
        <f>#REF!*O168</f>
        <v>#REF!</v>
      </c>
    </row>
    <row r="169" ht="234" outlineLevel="1" spans="1:16">
      <c r="A169" s="12">
        <v>1.3</v>
      </c>
      <c r="B169" s="12" t="s">
        <v>431</v>
      </c>
      <c r="C169" s="36" t="str">
        <f>_xlfn.DISPIMG("ID_6F4362D0F53D48F19114E50B7B69912D",1)</f>
        <v>=DISPIMG("ID_6F4362D0F53D48F19114E50B7B69912D",1)</v>
      </c>
      <c r="D169" s="12" t="s">
        <v>432</v>
      </c>
      <c r="E169" s="12" t="s">
        <v>433</v>
      </c>
      <c r="F169" s="12" t="s">
        <v>180</v>
      </c>
      <c r="G169" s="15">
        <v>1</v>
      </c>
      <c r="H169" s="15">
        <f t="shared" ref="H169:H177" si="33">O169</f>
        <v>8449.33</v>
      </c>
      <c r="I169" s="15">
        <f t="shared" si="32"/>
        <v>8449.33</v>
      </c>
      <c r="J169" s="12"/>
      <c r="L169" s="5">
        <v>8398</v>
      </c>
      <c r="M169" s="5">
        <v>8600</v>
      </c>
      <c r="N169" s="5">
        <v>8350</v>
      </c>
      <c r="O169" s="28">
        <f t="shared" si="31"/>
        <v>8449.33</v>
      </c>
      <c r="P169" s="28" t="e">
        <f>#REF!*O169</f>
        <v>#REF!</v>
      </c>
    </row>
    <row r="170" ht="195" outlineLevel="1" spans="1:16">
      <c r="A170" s="12">
        <v>1.4</v>
      </c>
      <c r="B170" s="12" t="s">
        <v>434</v>
      </c>
      <c r="C170" s="36" t="str">
        <f>_xlfn.DISPIMG("ID_B153E800CE4C47D39A8B22A6DBCACA3D",1)</f>
        <v>=DISPIMG("ID_B153E800CE4C47D39A8B22A6DBCACA3D",1)</v>
      </c>
      <c r="D170" s="12" t="s">
        <v>435</v>
      </c>
      <c r="E170" s="12" t="s">
        <v>436</v>
      </c>
      <c r="F170" s="12" t="s">
        <v>430</v>
      </c>
      <c r="G170" s="15">
        <v>2</v>
      </c>
      <c r="H170" s="15">
        <f t="shared" si="33"/>
        <v>2348.33</v>
      </c>
      <c r="I170" s="15">
        <f t="shared" si="32"/>
        <v>4696.66</v>
      </c>
      <c r="J170" s="12"/>
      <c r="L170" s="5">
        <v>2317</v>
      </c>
      <c r="M170" s="5">
        <v>2189</v>
      </c>
      <c r="N170" s="5">
        <v>2539</v>
      </c>
      <c r="O170" s="28">
        <f t="shared" si="31"/>
        <v>2348.33</v>
      </c>
      <c r="P170" s="28" t="e">
        <f>#REF!*O170</f>
        <v>#REF!</v>
      </c>
    </row>
    <row r="171" ht="234" outlineLevel="1" spans="1:16">
      <c r="A171" s="12">
        <v>1.5</v>
      </c>
      <c r="B171" s="12" t="s">
        <v>437</v>
      </c>
      <c r="C171" s="36" t="str">
        <f>_xlfn.DISPIMG("ID_26B1072A65DA4E6AB1E0898BE43DA1D4",1)</f>
        <v>=DISPIMG("ID_26B1072A65DA4E6AB1E0898BE43DA1D4",1)</v>
      </c>
      <c r="D171" s="12" t="s">
        <v>438</v>
      </c>
      <c r="E171" s="12" t="s">
        <v>439</v>
      </c>
      <c r="F171" s="12" t="s">
        <v>180</v>
      </c>
      <c r="G171" s="15">
        <v>1</v>
      </c>
      <c r="H171" s="15">
        <f t="shared" si="33"/>
        <v>5510</v>
      </c>
      <c r="I171" s="15">
        <f t="shared" si="32"/>
        <v>5510</v>
      </c>
      <c r="J171" s="12"/>
      <c r="L171" s="5">
        <v>5295</v>
      </c>
      <c r="M171" s="5">
        <v>5589</v>
      </c>
      <c r="N171" s="5">
        <v>5646</v>
      </c>
      <c r="O171" s="28">
        <f t="shared" si="31"/>
        <v>5510</v>
      </c>
      <c r="P171" s="28" t="e">
        <f>#REF!*O171</f>
        <v>#REF!</v>
      </c>
    </row>
    <row r="172" ht="390" outlineLevel="1" spans="1:16">
      <c r="A172" s="12">
        <v>1.6</v>
      </c>
      <c r="B172" s="12" t="s">
        <v>440</v>
      </c>
      <c r="C172" s="36" t="str">
        <f>_xlfn.DISPIMG("ID_F7EFAD626EF84DC2ADF54FC8EF65F38A",1)</f>
        <v>=DISPIMG("ID_F7EFAD626EF84DC2ADF54FC8EF65F38A",1)</v>
      </c>
      <c r="D172" s="12" t="s">
        <v>441</v>
      </c>
      <c r="E172" s="12" t="s">
        <v>442</v>
      </c>
      <c r="F172" s="12" t="s">
        <v>180</v>
      </c>
      <c r="G172" s="15">
        <v>1</v>
      </c>
      <c r="H172" s="15">
        <f t="shared" si="33"/>
        <v>4685</v>
      </c>
      <c r="I172" s="15">
        <f t="shared" si="32"/>
        <v>4685</v>
      </c>
      <c r="J172" s="12"/>
      <c r="L172" s="5">
        <v>4693</v>
      </c>
      <c r="M172" s="5">
        <v>4895</v>
      </c>
      <c r="N172" s="5">
        <v>4467</v>
      </c>
      <c r="O172" s="28">
        <f t="shared" si="31"/>
        <v>4685</v>
      </c>
      <c r="P172" s="28" t="e">
        <f>#REF!*O172</f>
        <v>#REF!</v>
      </c>
    </row>
    <row r="173" ht="264" outlineLevel="1" spans="1:16">
      <c r="A173" s="12">
        <v>1.7</v>
      </c>
      <c r="B173" s="12" t="s">
        <v>443</v>
      </c>
      <c r="C173" s="36" t="str">
        <f>_xlfn.DISPIMG("ID_103FFFE91C8F40688D717BB890047C06",1)</f>
        <v>=DISPIMG("ID_103FFFE91C8F40688D717BB890047C06",1)</v>
      </c>
      <c r="D173" s="12" t="s">
        <v>444</v>
      </c>
      <c r="E173" s="12" t="s">
        <v>445</v>
      </c>
      <c r="F173" s="12" t="s">
        <v>180</v>
      </c>
      <c r="G173" s="15">
        <v>1</v>
      </c>
      <c r="H173" s="15">
        <f t="shared" si="33"/>
        <v>2148.33</v>
      </c>
      <c r="I173" s="15">
        <f t="shared" si="32"/>
        <v>2148.33</v>
      </c>
      <c r="J173" s="12"/>
      <c r="L173" s="5">
        <v>2106</v>
      </c>
      <c r="M173" s="5">
        <v>1990</v>
      </c>
      <c r="N173" s="5">
        <v>2349</v>
      </c>
      <c r="O173" s="28">
        <f t="shared" si="31"/>
        <v>2148.33</v>
      </c>
      <c r="P173" s="28" t="e">
        <f>#REF!*O173</f>
        <v>#REF!</v>
      </c>
    </row>
    <row r="174" ht="409.5" outlineLevel="1" spans="1:16">
      <c r="A174" s="12">
        <v>1.8</v>
      </c>
      <c r="B174" s="12" t="s">
        <v>446</v>
      </c>
      <c r="C174" s="36" t="str">
        <f>_xlfn.DISPIMG("ID_F71F37A6FA2941829CD354B1C41ED37B",1)</f>
        <v>=DISPIMG("ID_F71F37A6FA2941829CD354B1C41ED37B",1)</v>
      </c>
      <c r="D174" s="12" t="s">
        <v>447</v>
      </c>
      <c r="E174" s="12" t="s">
        <v>448</v>
      </c>
      <c r="F174" s="12" t="s">
        <v>60</v>
      </c>
      <c r="G174" s="15">
        <v>1</v>
      </c>
      <c r="H174" s="15">
        <f t="shared" si="33"/>
        <v>2108.67</v>
      </c>
      <c r="I174" s="15">
        <f t="shared" si="32"/>
        <v>2108.67</v>
      </c>
      <c r="J174" s="12"/>
      <c r="L174" s="5">
        <v>2102</v>
      </c>
      <c r="M174" s="5">
        <v>2234</v>
      </c>
      <c r="N174" s="5">
        <v>1990</v>
      </c>
      <c r="O174" s="28">
        <f t="shared" si="31"/>
        <v>2108.67</v>
      </c>
      <c r="P174" s="28" t="e">
        <f>#REF!*O174</f>
        <v>#REF!</v>
      </c>
    </row>
    <row r="175" ht="80" customHeight="1" outlineLevel="1" spans="1:16">
      <c r="A175" s="12">
        <v>1.9</v>
      </c>
      <c r="B175" s="12" t="s">
        <v>449</v>
      </c>
      <c r="C175" s="12"/>
      <c r="D175" s="12" t="s">
        <v>450</v>
      </c>
      <c r="E175" s="12" t="s">
        <v>314</v>
      </c>
      <c r="F175" s="12" t="s">
        <v>60</v>
      </c>
      <c r="G175" s="15">
        <v>2</v>
      </c>
      <c r="H175" s="15">
        <f t="shared" si="33"/>
        <v>190</v>
      </c>
      <c r="I175" s="15">
        <f t="shared" si="32"/>
        <v>380</v>
      </c>
      <c r="J175" s="12"/>
      <c r="L175" s="5">
        <v>180</v>
      </c>
      <c r="M175" s="5">
        <v>200</v>
      </c>
      <c r="N175" s="5">
        <v>190</v>
      </c>
      <c r="O175" s="28">
        <f t="shared" si="31"/>
        <v>190</v>
      </c>
      <c r="P175" s="28" t="e">
        <f>#REF!*O175</f>
        <v>#REF!</v>
      </c>
    </row>
    <row r="176" ht="80" customHeight="1" outlineLevel="1" spans="1:16">
      <c r="A176" s="32">
        <v>1.1</v>
      </c>
      <c r="B176" s="12" t="s">
        <v>451</v>
      </c>
      <c r="C176" s="12"/>
      <c r="D176" s="12" t="s">
        <v>452</v>
      </c>
      <c r="E176" s="12" t="s">
        <v>453</v>
      </c>
      <c r="F176" s="12" t="s">
        <v>295</v>
      </c>
      <c r="G176" s="15">
        <v>100</v>
      </c>
      <c r="H176" s="15">
        <f t="shared" si="33"/>
        <v>4.67</v>
      </c>
      <c r="I176" s="15">
        <f t="shared" si="32"/>
        <v>467</v>
      </c>
      <c r="J176" s="12"/>
      <c r="L176" s="5">
        <v>4.5</v>
      </c>
      <c r="M176" s="5">
        <v>4.5</v>
      </c>
      <c r="N176" s="5">
        <v>5</v>
      </c>
      <c r="O176" s="28">
        <f t="shared" si="31"/>
        <v>4.67</v>
      </c>
      <c r="P176" s="28" t="e">
        <f>#REF!*O176</f>
        <v>#REF!</v>
      </c>
    </row>
    <row r="177" ht="80" customHeight="1" outlineLevel="1" spans="1:16">
      <c r="A177" s="12">
        <v>1.11</v>
      </c>
      <c r="B177" s="12" t="s">
        <v>454</v>
      </c>
      <c r="C177" s="12"/>
      <c r="D177" s="12"/>
      <c r="E177" s="12" t="s">
        <v>455</v>
      </c>
      <c r="F177" s="12" t="s">
        <v>180</v>
      </c>
      <c r="G177" s="15">
        <v>1</v>
      </c>
      <c r="H177" s="15">
        <f t="shared" si="33"/>
        <v>898.67</v>
      </c>
      <c r="I177" s="15">
        <f t="shared" si="32"/>
        <v>898.67</v>
      </c>
      <c r="J177" s="12"/>
      <c r="L177" s="5">
        <v>866</v>
      </c>
      <c r="M177" s="5">
        <v>880</v>
      </c>
      <c r="N177" s="5">
        <v>950</v>
      </c>
      <c r="O177" s="28">
        <f t="shared" si="31"/>
        <v>898.67</v>
      </c>
      <c r="P177" s="28" t="e">
        <f>#REF!*O177</f>
        <v>#REF!</v>
      </c>
    </row>
    <row r="178" ht="80" customHeight="1" outlineLevel="1" spans="1:16">
      <c r="A178" s="12">
        <v>1.12</v>
      </c>
      <c r="B178" s="12" t="s">
        <v>420</v>
      </c>
      <c r="C178" s="12"/>
      <c r="D178" s="12"/>
      <c r="E178" s="12"/>
      <c r="F178" s="12" t="s">
        <v>88</v>
      </c>
      <c r="G178" s="15">
        <v>1</v>
      </c>
      <c r="H178" s="15">
        <v>0</v>
      </c>
      <c r="I178" s="15">
        <f t="shared" si="32"/>
        <v>0</v>
      </c>
      <c r="J178" s="12"/>
      <c r="O178" s="28">
        <f t="shared" si="31"/>
        <v>0</v>
      </c>
      <c r="P178" s="28" t="e">
        <f>#REF!*O178</f>
        <v>#REF!</v>
      </c>
    </row>
    <row r="179" ht="80" customHeight="1" outlineLevel="1" spans="1:16">
      <c r="A179" s="12">
        <v>2</v>
      </c>
      <c r="B179" s="12" t="s">
        <v>456</v>
      </c>
      <c r="C179" s="12"/>
      <c r="D179" s="12"/>
      <c r="E179" s="12"/>
      <c r="F179" s="12"/>
      <c r="G179" s="15"/>
      <c r="H179" s="15"/>
      <c r="I179" s="15"/>
      <c r="J179" s="12"/>
      <c r="O179" s="28">
        <f t="shared" si="31"/>
        <v>0</v>
      </c>
      <c r="P179" s="28" t="e">
        <f>#REF!*O179</f>
        <v>#REF!</v>
      </c>
    </row>
    <row r="180" ht="409.5" outlineLevel="1" spans="1:16">
      <c r="A180" s="12">
        <v>2.1</v>
      </c>
      <c r="B180" s="12" t="s">
        <v>457</v>
      </c>
      <c r="C180" s="37" t="str">
        <f>_xlfn.DISPIMG("ID_C7C3F762C90F4934A0AEEA2BC2BD4A97",1)</f>
        <v>=DISPIMG("ID_C7C3F762C90F4934A0AEEA2BC2BD4A97",1)</v>
      </c>
      <c r="D180" s="12" t="s">
        <v>458</v>
      </c>
      <c r="E180" s="12" t="s">
        <v>459</v>
      </c>
      <c r="F180" s="12" t="s">
        <v>180</v>
      </c>
      <c r="G180" s="15">
        <v>1</v>
      </c>
      <c r="H180" s="15">
        <f t="shared" ref="H180:H187" si="34">O180</f>
        <v>3325</v>
      </c>
      <c r="I180" s="15">
        <f t="shared" ref="I180:I188" si="35">ROUND(G180*H180,2)</f>
        <v>3325</v>
      </c>
      <c r="J180" s="12"/>
      <c r="L180" s="5">
        <v>3375</v>
      </c>
      <c r="M180" s="5">
        <v>3500</v>
      </c>
      <c r="N180" s="5">
        <v>3100</v>
      </c>
      <c r="O180" s="28">
        <f t="shared" si="31"/>
        <v>3325</v>
      </c>
      <c r="P180" s="28" t="e">
        <f>#REF!*O180</f>
        <v>#REF!</v>
      </c>
    </row>
    <row r="181" ht="234" outlineLevel="1" spans="1:16">
      <c r="A181" s="12">
        <v>2.2</v>
      </c>
      <c r="B181" s="12" t="s">
        <v>460</v>
      </c>
      <c r="C181" s="37" t="str">
        <f>_xlfn.DISPIMG("ID_674916C48F164FE18FCF7157F50FEA24",1)</f>
        <v>=DISPIMG("ID_674916C48F164FE18FCF7157F50FEA24",1)</v>
      </c>
      <c r="D181" s="12" t="s">
        <v>461</v>
      </c>
      <c r="E181" s="12" t="s">
        <v>462</v>
      </c>
      <c r="F181" s="12" t="s">
        <v>180</v>
      </c>
      <c r="G181" s="15">
        <v>1</v>
      </c>
      <c r="H181" s="15">
        <f t="shared" si="34"/>
        <v>2137.67</v>
      </c>
      <c r="I181" s="15">
        <f t="shared" si="35"/>
        <v>2137.67</v>
      </c>
      <c r="J181" s="12"/>
      <c r="L181" s="5">
        <v>2123</v>
      </c>
      <c r="M181" s="5">
        <v>1900</v>
      </c>
      <c r="N181" s="5">
        <v>2390</v>
      </c>
      <c r="O181" s="28">
        <f t="shared" si="31"/>
        <v>2137.67</v>
      </c>
      <c r="P181" s="28" t="e">
        <f>#REF!*O181</f>
        <v>#REF!</v>
      </c>
    </row>
    <row r="182" ht="104" outlineLevel="1" spans="1:16">
      <c r="A182" s="12">
        <v>2.3</v>
      </c>
      <c r="B182" s="12" t="s">
        <v>463</v>
      </c>
      <c r="C182" s="37" t="str">
        <f>_xlfn.DISPIMG("ID_9D8ACD65B4AE41BAA44458F28007EF1A",1)</f>
        <v>=DISPIMG("ID_9D8ACD65B4AE41BAA44458F28007EF1A",1)</v>
      </c>
      <c r="D182" s="12" t="s">
        <v>464</v>
      </c>
      <c r="E182" s="12" t="s">
        <v>465</v>
      </c>
      <c r="F182" s="12" t="s">
        <v>180</v>
      </c>
      <c r="G182" s="15">
        <v>1</v>
      </c>
      <c r="H182" s="15">
        <f t="shared" si="34"/>
        <v>722.33</v>
      </c>
      <c r="I182" s="15">
        <f t="shared" si="35"/>
        <v>722.33</v>
      </c>
      <c r="J182" s="12"/>
      <c r="L182" s="5">
        <v>602</v>
      </c>
      <c r="M182" s="5">
        <v>870</v>
      </c>
      <c r="N182" s="5">
        <v>695</v>
      </c>
      <c r="O182" s="28">
        <f t="shared" si="31"/>
        <v>722.33</v>
      </c>
      <c r="P182" s="28" t="e">
        <f>#REF!*O182</f>
        <v>#REF!</v>
      </c>
    </row>
    <row r="183" ht="130" outlineLevel="1" spans="1:16">
      <c r="A183" s="12">
        <v>2.4</v>
      </c>
      <c r="B183" s="12" t="s">
        <v>466</v>
      </c>
      <c r="C183" s="37" t="str">
        <f>_xlfn.DISPIMG("ID_D2127001ED8C4E29AAE62AC097F4BD03",1)</f>
        <v>=DISPIMG("ID_D2127001ED8C4E29AAE62AC097F4BD03",1)</v>
      </c>
      <c r="D183" s="12" t="s">
        <v>467</v>
      </c>
      <c r="E183" s="12" t="s">
        <v>468</v>
      </c>
      <c r="F183" s="12" t="s">
        <v>180</v>
      </c>
      <c r="G183" s="15">
        <v>1</v>
      </c>
      <c r="H183" s="15">
        <f t="shared" si="34"/>
        <v>3352</v>
      </c>
      <c r="I183" s="15">
        <f t="shared" si="35"/>
        <v>3352</v>
      </c>
      <c r="J183" s="12"/>
      <c r="L183" s="5">
        <v>3207</v>
      </c>
      <c r="M183" s="5">
        <v>3569</v>
      </c>
      <c r="N183" s="5">
        <v>3280</v>
      </c>
      <c r="O183" s="28">
        <f t="shared" si="31"/>
        <v>3352</v>
      </c>
      <c r="P183" s="28" t="e">
        <f>#REF!*O183</f>
        <v>#REF!</v>
      </c>
    </row>
    <row r="184" ht="117" outlineLevel="1" spans="1:16">
      <c r="A184" s="12">
        <v>2.5</v>
      </c>
      <c r="B184" s="12" t="s">
        <v>469</v>
      </c>
      <c r="C184" s="37" t="str">
        <f>_xlfn.DISPIMG("ID_15A34CEB83EF47B49B17781532707758",1)</f>
        <v>=DISPIMG("ID_15A34CEB83EF47B49B17781532707758",1)</v>
      </c>
      <c r="D184" s="12" t="s">
        <v>470</v>
      </c>
      <c r="E184" s="12" t="s">
        <v>471</v>
      </c>
      <c r="F184" s="12" t="s">
        <v>430</v>
      </c>
      <c r="G184" s="15">
        <v>26</v>
      </c>
      <c r="H184" s="15">
        <f t="shared" si="34"/>
        <v>115</v>
      </c>
      <c r="I184" s="15">
        <f t="shared" si="35"/>
        <v>2990</v>
      </c>
      <c r="J184" s="12"/>
      <c r="L184" s="5">
        <v>132</v>
      </c>
      <c r="M184" s="5">
        <v>115</v>
      </c>
      <c r="N184" s="5">
        <v>98</v>
      </c>
      <c r="O184" s="28">
        <f t="shared" si="31"/>
        <v>115</v>
      </c>
      <c r="P184" s="28" t="e">
        <f>#REF!*O184</f>
        <v>#REF!</v>
      </c>
    </row>
    <row r="185" ht="409.5" outlineLevel="1" spans="1:16">
      <c r="A185" s="12">
        <v>2.6</v>
      </c>
      <c r="B185" s="12" t="s">
        <v>472</v>
      </c>
      <c r="C185" s="37" t="str">
        <f>_xlfn.DISPIMG("ID_FDDFBBB137C0436EB0F7563D5E8F9015",1)</f>
        <v>=DISPIMG("ID_FDDFBBB137C0436EB0F7563D5E8F9015",1)</v>
      </c>
      <c r="D185" s="12" t="s">
        <v>473</v>
      </c>
      <c r="E185" s="12" t="s">
        <v>474</v>
      </c>
      <c r="F185" s="12" t="s">
        <v>180</v>
      </c>
      <c r="G185" s="15">
        <v>1</v>
      </c>
      <c r="H185" s="15">
        <f t="shared" si="34"/>
        <v>3381.33</v>
      </c>
      <c r="I185" s="15">
        <f t="shared" si="35"/>
        <v>3381.33</v>
      </c>
      <c r="J185" s="12"/>
      <c r="L185" s="5">
        <v>3444</v>
      </c>
      <c r="M185" s="5">
        <v>3500</v>
      </c>
      <c r="N185" s="5">
        <v>3200</v>
      </c>
      <c r="O185" s="28">
        <f t="shared" si="31"/>
        <v>3381.33</v>
      </c>
      <c r="P185" s="28" t="e">
        <f>#REF!*O185</f>
        <v>#REF!</v>
      </c>
    </row>
    <row r="186" ht="80" customHeight="1" outlineLevel="1" spans="1:16">
      <c r="A186" s="12">
        <v>2.7</v>
      </c>
      <c r="B186" s="12" t="s">
        <v>451</v>
      </c>
      <c r="C186" s="12"/>
      <c r="D186" s="12" t="s">
        <v>452</v>
      </c>
      <c r="E186" s="12" t="s">
        <v>453</v>
      </c>
      <c r="F186" s="12" t="s">
        <v>295</v>
      </c>
      <c r="G186" s="15">
        <v>800</v>
      </c>
      <c r="H186" s="15">
        <f t="shared" si="34"/>
        <v>4.67</v>
      </c>
      <c r="I186" s="15">
        <f t="shared" si="35"/>
        <v>3736</v>
      </c>
      <c r="J186" s="12"/>
      <c r="L186" s="5">
        <v>4.5</v>
      </c>
      <c r="M186" s="5">
        <v>4.5</v>
      </c>
      <c r="N186" s="5">
        <v>5</v>
      </c>
      <c r="O186" s="28">
        <f t="shared" si="31"/>
        <v>4.67</v>
      </c>
      <c r="P186" s="28" t="e">
        <f>#REF!*O186</f>
        <v>#REF!</v>
      </c>
    </row>
    <row r="187" ht="80" customHeight="1" outlineLevel="1" spans="1:16">
      <c r="A187" s="12">
        <v>2.8</v>
      </c>
      <c r="B187" s="12" t="s">
        <v>454</v>
      </c>
      <c r="C187" s="12"/>
      <c r="D187" s="12"/>
      <c r="E187" s="12" t="s">
        <v>455</v>
      </c>
      <c r="F187" s="12" t="s">
        <v>180</v>
      </c>
      <c r="G187" s="15">
        <v>1</v>
      </c>
      <c r="H187" s="15">
        <f t="shared" si="34"/>
        <v>898.67</v>
      </c>
      <c r="I187" s="15">
        <f t="shared" si="35"/>
        <v>898.67</v>
      </c>
      <c r="J187" s="12"/>
      <c r="L187" s="5">
        <v>866</v>
      </c>
      <c r="M187" s="5">
        <v>880</v>
      </c>
      <c r="N187" s="5">
        <v>950</v>
      </c>
      <c r="O187" s="28">
        <f t="shared" si="31"/>
        <v>898.67</v>
      </c>
      <c r="P187" s="28" t="e">
        <f>#REF!*O187</f>
        <v>#REF!</v>
      </c>
    </row>
    <row r="188" ht="80" customHeight="1" outlineLevel="1" spans="1:16">
      <c r="A188" s="12">
        <v>2.9</v>
      </c>
      <c r="B188" s="12" t="s">
        <v>420</v>
      </c>
      <c r="C188" s="12"/>
      <c r="D188" s="12"/>
      <c r="E188" s="12"/>
      <c r="F188" s="12" t="s">
        <v>88</v>
      </c>
      <c r="G188" s="15">
        <v>1</v>
      </c>
      <c r="H188" s="15">
        <v>0</v>
      </c>
      <c r="I188" s="15">
        <f t="shared" si="35"/>
        <v>0</v>
      </c>
      <c r="J188" s="12"/>
      <c r="O188" s="28">
        <f t="shared" si="31"/>
        <v>0</v>
      </c>
      <c r="P188" s="28" t="e">
        <f>#REF!*O188</f>
        <v>#REF!</v>
      </c>
    </row>
    <row r="189" ht="80" customHeight="1" outlineLevel="1" spans="1:16">
      <c r="A189" s="12">
        <v>3</v>
      </c>
      <c r="B189" s="12" t="s">
        <v>475</v>
      </c>
      <c r="C189" s="12"/>
      <c r="D189" s="12"/>
      <c r="E189" s="12"/>
      <c r="F189" s="12"/>
      <c r="G189" s="15"/>
      <c r="H189" s="15"/>
      <c r="I189" s="15"/>
      <c r="J189" s="12"/>
      <c r="O189" s="28">
        <f t="shared" si="31"/>
        <v>0</v>
      </c>
      <c r="P189" s="28" t="e">
        <f>#REF!*O189</f>
        <v>#REF!</v>
      </c>
    </row>
    <row r="190" ht="168" outlineLevel="1" spans="1:16">
      <c r="A190" s="12">
        <v>3.1</v>
      </c>
      <c r="B190" s="12" t="s">
        <v>476</v>
      </c>
      <c r="C190" s="12"/>
      <c r="D190" s="12" t="s">
        <v>477</v>
      </c>
      <c r="E190" s="12" t="s">
        <v>478</v>
      </c>
      <c r="F190" s="12" t="s">
        <v>180</v>
      </c>
      <c r="G190" s="15">
        <v>1</v>
      </c>
      <c r="H190" s="15">
        <f t="shared" ref="H190:H198" si="36">O190</f>
        <v>14769.33</v>
      </c>
      <c r="I190" s="15">
        <f t="shared" ref="I190:I199" si="37">ROUND(G190*H190,2)</f>
        <v>14769.33</v>
      </c>
      <c r="J190" s="12"/>
      <c r="L190" s="5">
        <v>13828</v>
      </c>
      <c r="M190" s="5">
        <v>15900</v>
      </c>
      <c r="N190" s="5">
        <v>14580</v>
      </c>
      <c r="O190" s="28">
        <f t="shared" si="31"/>
        <v>14769.33</v>
      </c>
      <c r="P190" s="28" t="e">
        <f>#REF!*O190</f>
        <v>#REF!</v>
      </c>
    </row>
    <row r="191" ht="80" customHeight="1" outlineLevel="1" spans="1:16">
      <c r="A191" s="12">
        <v>3.2</v>
      </c>
      <c r="B191" s="12" t="s">
        <v>451</v>
      </c>
      <c r="C191" s="12"/>
      <c r="D191" s="12" t="s">
        <v>452</v>
      </c>
      <c r="E191" s="12" t="s">
        <v>453</v>
      </c>
      <c r="F191" s="12" t="s">
        <v>295</v>
      </c>
      <c r="G191" s="15">
        <v>200</v>
      </c>
      <c r="H191" s="15">
        <f t="shared" si="36"/>
        <v>4.67</v>
      </c>
      <c r="I191" s="15">
        <f t="shared" si="37"/>
        <v>934</v>
      </c>
      <c r="J191" s="12"/>
      <c r="L191" s="5">
        <v>4.5</v>
      </c>
      <c r="M191" s="5">
        <v>4.5</v>
      </c>
      <c r="N191" s="5">
        <v>5</v>
      </c>
      <c r="O191" s="28">
        <f t="shared" si="31"/>
        <v>4.67</v>
      </c>
      <c r="P191" s="28" t="e">
        <f>#REF!*O191</f>
        <v>#REF!</v>
      </c>
    </row>
    <row r="192" s="1" customFormat="1" ht="43" customHeight="1" spans="1:16">
      <c r="A192" s="8" t="s">
        <v>479</v>
      </c>
      <c r="B192" s="8" t="s">
        <v>480</v>
      </c>
      <c r="C192" s="8"/>
      <c r="D192" s="8"/>
      <c r="E192" s="8"/>
      <c r="F192" s="24"/>
      <c r="G192" s="10"/>
      <c r="H192" s="10"/>
      <c r="I192" s="10">
        <f>SUM(I193:I199)</f>
        <v>2318.01</v>
      </c>
      <c r="J192" s="26"/>
      <c r="K192" s="1" t="e">
        <f>#REF!-#REF!</f>
        <v>#REF!</v>
      </c>
      <c r="L192" s="27"/>
      <c r="M192" s="27"/>
      <c r="N192" s="27"/>
      <c r="O192" s="28"/>
      <c r="P192" s="28"/>
    </row>
    <row r="193" ht="91" outlineLevel="1" spans="1:16">
      <c r="A193" s="12">
        <v>1</v>
      </c>
      <c r="B193" s="12" t="s">
        <v>481</v>
      </c>
      <c r="C193" s="37" t="str">
        <f>_xlfn.DISPIMG("ID_42DD063117974F48915FA05132807DB7",1)</f>
        <v>=DISPIMG("ID_42DD063117974F48915FA05132807DB7",1)</v>
      </c>
      <c r="D193" s="12" t="s">
        <v>482</v>
      </c>
      <c r="E193" s="12" t="s">
        <v>483</v>
      </c>
      <c r="F193" s="14" t="s">
        <v>180</v>
      </c>
      <c r="G193" s="15">
        <v>1</v>
      </c>
      <c r="H193" s="15">
        <f t="shared" si="36"/>
        <v>1566.67</v>
      </c>
      <c r="I193" s="15">
        <f t="shared" si="37"/>
        <v>1566.67</v>
      </c>
      <c r="J193" s="12"/>
      <c r="L193" s="5">
        <v>1400</v>
      </c>
      <c r="M193" s="5">
        <v>1500</v>
      </c>
      <c r="N193" s="5">
        <v>1800</v>
      </c>
      <c r="O193" s="28">
        <f t="shared" ref="O193:O198" si="38">ROUND((L193+M193+N193)/3,2)</f>
        <v>1566.67</v>
      </c>
      <c r="P193" s="28">
        <f t="shared" ref="P193:P198" si="39">G193*O193</f>
        <v>1566.67</v>
      </c>
    </row>
    <row r="194" ht="80" customHeight="1" outlineLevel="1" spans="1:16">
      <c r="A194" s="12">
        <v>2</v>
      </c>
      <c r="B194" s="12" t="s">
        <v>484</v>
      </c>
      <c r="C194" s="37" t="str">
        <f>_xlfn.DISPIMG("ID_53681922E3944C78927ED41112AD37C7",1)</f>
        <v>=DISPIMG("ID_53681922E3944C78927ED41112AD37C7",1)</v>
      </c>
      <c r="D194" s="12" t="s">
        <v>485</v>
      </c>
      <c r="E194" s="12" t="s">
        <v>486</v>
      </c>
      <c r="F194" s="14" t="s">
        <v>116</v>
      </c>
      <c r="G194" s="15">
        <v>1</v>
      </c>
      <c r="H194" s="15">
        <f t="shared" si="36"/>
        <v>216.67</v>
      </c>
      <c r="I194" s="15">
        <f t="shared" si="37"/>
        <v>216.67</v>
      </c>
      <c r="J194" s="12"/>
      <c r="L194" s="5">
        <v>200</v>
      </c>
      <c r="M194" s="5">
        <v>220</v>
      </c>
      <c r="N194" s="5">
        <v>230</v>
      </c>
      <c r="O194" s="28">
        <f t="shared" si="38"/>
        <v>216.67</v>
      </c>
      <c r="P194" s="28">
        <f t="shared" si="39"/>
        <v>216.67</v>
      </c>
    </row>
    <row r="195" ht="80" customHeight="1" outlineLevel="1" spans="1:16">
      <c r="A195" s="12">
        <v>3</v>
      </c>
      <c r="B195" s="12" t="s">
        <v>487</v>
      </c>
      <c r="C195" s="37" t="str">
        <f>_xlfn.DISPIMG("ID_87916D7000894586939B32B0A5DDFAF9",1)</f>
        <v>=DISPIMG("ID_87916D7000894586939B32B0A5DDFAF9",1)</v>
      </c>
      <c r="D195" s="12" t="s">
        <v>488</v>
      </c>
      <c r="E195" s="12" t="s">
        <v>489</v>
      </c>
      <c r="F195" s="14" t="s">
        <v>60</v>
      </c>
      <c r="G195" s="15">
        <v>2</v>
      </c>
      <c r="H195" s="15">
        <f t="shared" si="36"/>
        <v>47</v>
      </c>
      <c r="I195" s="15">
        <f t="shared" si="37"/>
        <v>94</v>
      </c>
      <c r="J195" s="12"/>
      <c r="L195" s="5">
        <v>50</v>
      </c>
      <c r="M195" s="5">
        <v>45</v>
      </c>
      <c r="N195" s="5">
        <v>46</v>
      </c>
      <c r="O195" s="28">
        <f t="shared" si="38"/>
        <v>47</v>
      </c>
      <c r="P195" s="28">
        <f t="shared" si="39"/>
        <v>94</v>
      </c>
    </row>
    <row r="196" ht="80" customHeight="1" outlineLevel="1" spans="1:16">
      <c r="A196" s="12">
        <v>4</v>
      </c>
      <c r="B196" s="12" t="s">
        <v>490</v>
      </c>
      <c r="C196" s="37" t="str">
        <f>_xlfn.DISPIMG("ID_DED0402E80E342C298330A73D7C90035",1)</f>
        <v>=DISPIMG("ID_DED0402E80E342C298330A73D7C90035",1)</v>
      </c>
      <c r="D196" s="12" t="s">
        <v>491</v>
      </c>
      <c r="E196" s="12" t="s">
        <v>492</v>
      </c>
      <c r="F196" s="14" t="s">
        <v>56</v>
      </c>
      <c r="G196" s="15">
        <v>1</v>
      </c>
      <c r="H196" s="15">
        <f t="shared" si="36"/>
        <v>168.33</v>
      </c>
      <c r="I196" s="15">
        <f t="shared" si="37"/>
        <v>168.33</v>
      </c>
      <c r="J196" s="12"/>
      <c r="L196" s="5">
        <v>170</v>
      </c>
      <c r="M196" s="5">
        <v>165</v>
      </c>
      <c r="N196" s="5">
        <v>170</v>
      </c>
      <c r="O196" s="28">
        <f t="shared" si="38"/>
        <v>168.33</v>
      </c>
      <c r="P196" s="28">
        <f t="shared" si="39"/>
        <v>168.33</v>
      </c>
    </row>
    <row r="197" ht="80" customHeight="1" outlineLevel="1" spans="1:16">
      <c r="A197" s="12">
        <v>5</v>
      </c>
      <c r="B197" s="12" t="s">
        <v>493</v>
      </c>
      <c r="C197" s="37" t="str">
        <f>_xlfn.DISPIMG("ID_3B57C201821A4788AFF8181E143DDB8B",1)</f>
        <v>=DISPIMG("ID_3B57C201821A4788AFF8181E143DDB8B",1)</v>
      </c>
      <c r="D197" s="12" t="s">
        <v>494</v>
      </c>
      <c r="E197" s="12" t="s">
        <v>495</v>
      </c>
      <c r="F197" s="14" t="s">
        <v>56</v>
      </c>
      <c r="G197" s="15">
        <v>1</v>
      </c>
      <c r="H197" s="15">
        <f t="shared" si="36"/>
        <v>19</v>
      </c>
      <c r="I197" s="15">
        <f t="shared" si="37"/>
        <v>19</v>
      </c>
      <c r="J197" s="12"/>
      <c r="L197" s="5">
        <v>20</v>
      </c>
      <c r="M197" s="5">
        <v>18</v>
      </c>
      <c r="N197" s="5">
        <v>19</v>
      </c>
      <c r="O197" s="28">
        <f t="shared" si="38"/>
        <v>19</v>
      </c>
      <c r="P197" s="28">
        <f t="shared" si="39"/>
        <v>19</v>
      </c>
    </row>
    <row r="198" ht="80" customHeight="1" outlineLevel="1" spans="1:16">
      <c r="A198" s="12">
        <v>6</v>
      </c>
      <c r="B198" s="12" t="s">
        <v>496</v>
      </c>
      <c r="C198" s="37" t="str">
        <f>_xlfn.DISPIMG("ID_863442146C634A68819BF5D6AB99075B",1)</f>
        <v>=DISPIMG("ID_863442146C634A68819BF5D6AB99075B",1)</v>
      </c>
      <c r="D198" s="12" t="s">
        <v>497</v>
      </c>
      <c r="E198" s="12" t="s">
        <v>498</v>
      </c>
      <c r="F198" s="14" t="s">
        <v>56</v>
      </c>
      <c r="G198" s="15">
        <v>2</v>
      </c>
      <c r="H198" s="15">
        <f t="shared" si="36"/>
        <v>126.67</v>
      </c>
      <c r="I198" s="15">
        <f t="shared" si="37"/>
        <v>253.34</v>
      </c>
      <c r="J198" s="12"/>
      <c r="L198" s="5">
        <v>100</v>
      </c>
      <c r="M198" s="5">
        <v>130</v>
      </c>
      <c r="N198" s="5">
        <v>150</v>
      </c>
      <c r="O198" s="28">
        <f t="shared" si="38"/>
        <v>126.67</v>
      </c>
      <c r="P198" s="28">
        <f t="shared" si="39"/>
        <v>253.34</v>
      </c>
    </row>
    <row r="199" ht="80" customHeight="1" outlineLevel="1" spans="1:16">
      <c r="A199" s="12">
        <v>7</v>
      </c>
      <c r="B199" s="12" t="s">
        <v>499</v>
      </c>
      <c r="C199" s="12"/>
      <c r="D199" s="12"/>
      <c r="E199" s="12"/>
      <c r="F199" s="14" t="s">
        <v>88</v>
      </c>
      <c r="G199" s="15">
        <v>1</v>
      </c>
      <c r="H199" s="15">
        <v>0</v>
      </c>
      <c r="I199" s="15">
        <f t="shared" si="37"/>
        <v>0</v>
      </c>
      <c r="J199" s="12"/>
      <c r="O199" s="28"/>
      <c r="P199" s="28"/>
    </row>
    <row r="200" s="1" customFormat="1" ht="43" customHeight="1" spans="1:16">
      <c r="A200" s="8" t="s">
        <v>500</v>
      </c>
      <c r="B200" s="8" t="s">
        <v>501</v>
      </c>
      <c r="C200" s="8"/>
      <c r="D200" s="8"/>
      <c r="E200" s="8"/>
      <c r="F200" s="24"/>
      <c r="G200" s="10"/>
      <c r="H200" s="10"/>
      <c r="I200" s="10">
        <f>SUM(I201:I203)</f>
        <v>65952.33</v>
      </c>
      <c r="J200" s="26"/>
      <c r="L200" s="27"/>
      <c r="M200" s="27"/>
      <c r="N200" s="27"/>
      <c r="O200" s="28"/>
      <c r="P200" s="28"/>
    </row>
    <row r="201" ht="158.6" outlineLevel="1" spans="1:16">
      <c r="A201" s="12">
        <v>1</v>
      </c>
      <c r="B201" s="12" t="s">
        <v>502</v>
      </c>
      <c r="C201" s="38" t="str">
        <f>_xlfn.DISPIMG("ID_790B13DAC6994276BD960B53030358E0",1)</f>
        <v>=DISPIMG("ID_790B13DAC6994276BD960B53030358E0",1)</v>
      </c>
      <c r="D201" s="12" t="s">
        <v>503</v>
      </c>
      <c r="E201" s="12"/>
      <c r="F201" s="14" t="s">
        <v>180</v>
      </c>
      <c r="G201" s="15">
        <v>2</v>
      </c>
      <c r="H201" s="15">
        <f t="shared" ref="H201:H203" si="40">O201</f>
        <v>26733.33</v>
      </c>
      <c r="I201" s="15">
        <f t="shared" ref="I201:I203" si="41">ROUND(G201*H201,2)</f>
        <v>53466.66</v>
      </c>
      <c r="J201" s="12"/>
      <c r="L201" s="5">
        <v>26800</v>
      </c>
      <c r="M201" s="5">
        <v>25900</v>
      </c>
      <c r="N201" s="5">
        <v>27500</v>
      </c>
      <c r="O201" s="28">
        <f t="shared" ref="O201:O203" si="42">ROUND((L201+M201+N201)/3,2)</f>
        <v>26733.33</v>
      </c>
      <c r="P201" s="28" t="e">
        <f>#REF!*O201</f>
        <v>#REF!</v>
      </c>
    </row>
    <row r="202" ht="152.4" outlineLevel="1" spans="1:16">
      <c r="A202" s="12">
        <v>2</v>
      </c>
      <c r="B202" s="12" t="s">
        <v>504</v>
      </c>
      <c r="C202" s="38" t="str">
        <f>_xlfn.DISPIMG("ID_2EBC96A27EC84FFA986865958217DEBA",1)</f>
        <v>=DISPIMG("ID_2EBC96A27EC84FFA986865958217DEBA",1)</v>
      </c>
      <c r="D202" s="12" t="s">
        <v>505</v>
      </c>
      <c r="E202" s="12"/>
      <c r="F202" s="14" t="s">
        <v>180</v>
      </c>
      <c r="G202" s="15">
        <v>4</v>
      </c>
      <c r="H202" s="15">
        <f t="shared" si="40"/>
        <v>1796.67</v>
      </c>
      <c r="I202" s="15">
        <f t="shared" si="41"/>
        <v>7186.68</v>
      </c>
      <c r="J202" s="12"/>
      <c r="L202" s="5">
        <v>1600</v>
      </c>
      <c r="M202" s="5">
        <v>1990</v>
      </c>
      <c r="N202" s="5">
        <v>1800</v>
      </c>
      <c r="O202" s="28">
        <f t="shared" si="42"/>
        <v>1796.67</v>
      </c>
      <c r="P202" s="28" t="e">
        <f>#REF!*O202</f>
        <v>#REF!</v>
      </c>
    </row>
    <row r="203" ht="169.3" outlineLevel="1" spans="1:16">
      <c r="A203" s="12">
        <v>3</v>
      </c>
      <c r="B203" s="12" t="s">
        <v>506</v>
      </c>
      <c r="C203" s="38" t="str">
        <f>_xlfn.DISPIMG("ID_B9A4B0EF51F9439B987B96D47B532681",1)</f>
        <v>=DISPIMG("ID_B9A4B0EF51F9439B987B96D47B532681",1)</v>
      </c>
      <c r="D203" s="12" t="s">
        <v>507</v>
      </c>
      <c r="E203" s="12"/>
      <c r="F203" s="14" t="s">
        <v>180</v>
      </c>
      <c r="G203" s="15">
        <v>3</v>
      </c>
      <c r="H203" s="15">
        <f t="shared" si="40"/>
        <v>1766.33</v>
      </c>
      <c r="I203" s="15">
        <f t="shared" si="41"/>
        <v>5298.99</v>
      </c>
      <c r="J203" s="12"/>
      <c r="L203" s="5">
        <v>1500</v>
      </c>
      <c r="M203" s="5">
        <v>1800</v>
      </c>
      <c r="N203" s="5">
        <v>1999</v>
      </c>
      <c r="O203" s="28">
        <f t="shared" si="42"/>
        <v>1766.33</v>
      </c>
      <c r="P203" s="28" t="e">
        <f>#REF!*O203</f>
        <v>#REF!</v>
      </c>
    </row>
    <row r="204" s="1" customFormat="1" ht="43" customHeight="1" spans="1:16">
      <c r="A204" s="8" t="s">
        <v>508</v>
      </c>
      <c r="B204" s="8" t="s">
        <v>509</v>
      </c>
      <c r="C204" s="8"/>
      <c r="D204" s="8"/>
      <c r="E204" s="8"/>
      <c r="F204" s="24"/>
      <c r="G204" s="10"/>
      <c r="H204" s="10"/>
      <c r="I204" s="10">
        <f>SUM(I205:I227)</f>
        <v>11081.62</v>
      </c>
      <c r="J204" s="26"/>
      <c r="K204" s="1" t="e">
        <f>#REF!-#REF!-#REF!</f>
        <v>#REF!</v>
      </c>
      <c r="L204" s="27"/>
      <c r="M204" s="27"/>
      <c r="N204" s="27"/>
      <c r="O204" s="28"/>
      <c r="P204" s="28"/>
    </row>
    <row r="205" s="2" customFormat="1" ht="80" customHeight="1" outlineLevel="1" spans="1:16">
      <c r="A205" s="12">
        <v>1</v>
      </c>
      <c r="B205" s="12" t="s">
        <v>510</v>
      </c>
      <c r="C205" s="12"/>
      <c r="D205" s="12" t="s">
        <v>511</v>
      </c>
      <c r="E205" s="12"/>
      <c r="F205" s="14" t="s">
        <v>56</v>
      </c>
      <c r="G205" s="15">
        <v>3</v>
      </c>
      <c r="H205" s="15">
        <f t="shared" ref="H205:H227" si="43">O205</f>
        <v>498.33</v>
      </c>
      <c r="I205" s="15">
        <f t="shared" ref="I205:I227" si="44">ROUND(G205*H205,2)</f>
        <v>1494.99</v>
      </c>
      <c r="J205" s="12"/>
      <c r="L205" s="5">
        <v>789</v>
      </c>
      <c r="M205" s="5">
        <v>450</v>
      </c>
      <c r="N205" s="5">
        <v>256</v>
      </c>
      <c r="O205" s="28">
        <f t="shared" ref="O205:O268" si="45">ROUND((L205+M205+N205)/3,2)</f>
        <v>498.33</v>
      </c>
      <c r="P205" s="28" t="e">
        <f>#REF!*O205</f>
        <v>#REF!</v>
      </c>
    </row>
    <row r="206" s="2" customFormat="1" ht="80" customHeight="1" outlineLevel="1" spans="1:16">
      <c r="A206" s="12">
        <v>2</v>
      </c>
      <c r="B206" s="12" t="s">
        <v>512</v>
      </c>
      <c r="C206" s="12"/>
      <c r="D206" s="12" t="s">
        <v>511</v>
      </c>
      <c r="E206" s="12"/>
      <c r="F206" s="14" t="s">
        <v>116</v>
      </c>
      <c r="G206" s="15">
        <v>2</v>
      </c>
      <c r="H206" s="15">
        <f t="shared" si="43"/>
        <v>380</v>
      </c>
      <c r="I206" s="15">
        <f t="shared" si="44"/>
        <v>760</v>
      </c>
      <c r="J206" s="12"/>
      <c r="L206" s="5">
        <v>360</v>
      </c>
      <c r="M206" s="5">
        <v>400</v>
      </c>
      <c r="N206" s="5">
        <v>380</v>
      </c>
      <c r="O206" s="28">
        <f t="shared" si="45"/>
        <v>380</v>
      </c>
      <c r="P206" s="28" t="e">
        <f>#REF!*O206</f>
        <v>#REF!</v>
      </c>
    </row>
    <row r="207" ht="80" customHeight="1" outlineLevel="1" spans="1:16">
      <c r="A207" s="12">
        <v>3</v>
      </c>
      <c r="B207" s="12" t="s">
        <v>513</v>
      </c>
      <c r="C207" s="12"/>
      <c r="D207" s="12" t="s">
        <v>514</v>
      </c>
      <c r="E207" s="12"/>
      <c r="F207" s="14" t="s">
        <v>56</v>
      </c>
      <c r="G207" s="15">
        <v>1</v>
      </c>
      <c r="H207" s="15">
        <f t="shared" si="43"/>
        <v>730</v>
      </c>
      <c r="I207" s="15">
        <f t="shared" si="44"/>
        <v>730</v>
      </c>
      <c r="J207" s="12"/>
      <c r="L207" s="5">
        <v>650</v>
      </c>
      <c r="M207" s="5">
        <v>740</v>
      </c>
      <c r="N207" s="5">
        <v>800</v>
      </c>
      <c r="O207" s="28">
        <f t="shared" si="45"/>
        <v>730</v>
      </c>
      <c r="P207" s="28" t="e">
        <f>#REF!*O207</f>
        <v>#REF!</v>
      </c>
    </row>
    <row r="208" s="2" customFormat="1" ht="80" customHeight="1" outlineLevel="1" spans="1:16">
      <c r="A208" s="12">
        <v>4</v>
      </c>
      <c r="B208" s="12" t="s">
        <v>515</v>
      </c>
      <c r="C208" s="12"/>
      <c r="D208" s="12" t="s">
        <v>516</v>
      </c>
      <c r="E208" s="12"/>
      <c r="F208" s="14" t="s">
        <v>180</v>
      </c>
      <c r="G208" s="15">
        <v>1</v>
      </c>
      <c r="H208" s="15">
        <f t="shared" si="43"/>
        <v>315</v>
      </c>
      <c r="I208" s="15">
        <f t="shared" si="44"/>
        <v>315</v>
      </c>
      <c r="J208" s="12"/>
      <c r="L208" s="5">
        <v>315</v>
      </c>
      <c r="M208" s="5">
        <v>300</v>
      </c>
      <c r="N208" s="5">
        <v>330</v>
      </c>
      <c r="O208" s="28">
        <f t="shared" si="45"/>
        <v>315</v>
      </c>
      <c r="P208" s="28" t="e">
        <f>#REF!*O208</f>
        <v>#REF!</v>
      </c>
    </row>
    <row r="209" s="2" customFormat="1" ht="80" customHeight="1" outlineLevel="1" spans="1:16">
      <c r="A209" s="12">
        <v>5</v>
      </c>
      <c r="B209" s="12" t="s">
        <v>517</v>
      </c>
      <c r="C209" s="12"/>
      <c r="D209" s="12" t="s">
        <v>518</v>
      </c>
      <c r="E209" s="12"/>
      <c r="F209" s="14" t="s">
        <v>56</v>
      </c>
      <c r="G209" s="15">
        <v>1</v>
      </c>
      <c r="H209" s="15">
        <f t="shared" si="43"/>
        <v>4.85</v>
      </c>
      <c r="I209" s="15">
        <f t="shared" si="44"/>
        <v>4.85</v>
      </c>
      <c r="J209" s="12"/>
      <c r="L209" s="5">
        <v>4.85</v>
      </c>
      <c r="M209" s="5">
        <v>4.85</v>
      </c>
      <c r="N209" s="5">
        <v>4.85</v>
      </c>
      <c r="O209" s="28">
        <f t="shared" si="45"/>
        <v>4.85</v>
      </c>
      <c r="P209" s="28" t="e">
        <f>#REF!*O209</f>
        <v>#REF!</v>
      </c>
    </row>
    <row r="210" s="2" customFormat="1" ht="80" customHeight="1" outlineLevel="1" spans="1:16">
      <c r="A210" s="12">
        <v>6</v>
      </c>
      <c r="B210" s="12" t="s">
        <v>519</v>
      </c>
      <c r="C210" s="12"/>
      <c r="D210" s="12" t="s">
        <v>520</v>
      </c>
      <c r="E210" s="12"/>
      <c r="F210" s="14" t="s">
        <v>180</v>
      </c>
      <c r="G210" s="15">
        <v>1</v>
      </c>
      <c r="H210" s="15">
        <f t="shared" si="43"/>
        <v>350</v>
      </c>
      <c r="I210" s="15">
        <f t="shared" si="44"/>
        <v>350</v>
      </c>
      <c r="J210" s="12"/>
      <c r="L210" s="5">
        <v>300</v>
      </c>
      <c r="M210" s="5">
        <v>350</v>
      </c>
      <c r="N210" s="5">
        <v>400</v>
      </c>
      <c r="O210" s="28">
        <f t="shared" si="45"/>
        <v>350</v>
      </c>
      <c r="P210" s="28" t="e">
        <f>#REF!*O210</f>
        <v>#REF!</v>
      </c>
    </row>
    <row r="211" ht="80" customHeight="1" outlineLevel="1" spans="1:16">
      <c r="A211" s="12">
        <v>7</v>
      </c>
      <c r="B211" s="12" t="s">
        <v>521</v>
      </c>
      <c r="C211" s="12"/>
      <c r="D211" s="12" t="s">
        <v>522</v>
      </c>
      <c r="E211" s="12"/>
      <c r="F211" s="14" t="s">
        <v>56</v>
      </c>
      <c r="G211" s="15">
        <v>1</v>
      </c>
      <c r="H211" s="15">
        <f t="shared" si="43"/>
        <v>85</v>
      </c>
      <c r="I211" s="15">
        <f t="shared" si="44"/>
        <v>85</v>
      </c>
      <c r="J211" s="12"/>
      <c r="L211" s="5">
        <v>80</v>
      </c>
      <c r="M211" s="5">
        <v>85</v>
      </c>
      <c r="N211" s="5">
        <v>90</v>
      </c>
      <c r="O211" s="28">
        <f t="shared" si="45"/>
        <v>85</v>
      </c>
      <c r="P211" s="28" t="e">
        <f>#REF!*O211</f>
        <v>#REF!</v>
      </c>
    </row>
    <row r="212" ht="80" customHeight="1" outlineLevel="1" spans="1:16">
      <c r="A212" s="12">
        <v>8</v>
      </c>
      <c r="B212" s="12" t="s">
        <v>523</v>
      </c>
      <c r="C212" s="12"/>
      <c r="D212" s="12" t="s">
        <v>524</v>
      </c>
      <c r="E212" s="12"/>
      <c r="F212" s="14" t="s">
        <v>56</v>
      </c>
      <c r="G212" s="15">
        <v>1</v>
      </c>
      <c r="H212" s="15">
        <f t="shared" si="43"/>
        <v>51.67</v>
      </c>
      <c r="I212" s="15">
        <f t="shared" si="44"/>
        <v>51.67</v>
      </c>
      <c r="J212" s="12"/>
      <c r="L212" s="5">
        <v>50</v>
      </c>
      <c r="M212" s="5">
        <v>50</v>
      </c>
      <c r="N212" s="5">
        <v>55</v>
      </c>
      <c r="O212" s="28">
        <f t="shared" si="45"/>
        <v>51.67</v>
      </c>
      <c r="P212" s="28" t="e">
        <f>#REF!*O212</f>
        <v>#REF!</v>
      </c>
    </row>
    <row r="213" ht="80" customHeight="1" outlineLevel="1" spans="1:16">
      <c r="A213" s="12">
        <v>9</v>
      </c>
      <c r="B213" s="12" t="s">
        <v>525</v>
      </c>
      <c r="C213" s="12"/>
      <c r="D213" s="12" t="s">
        <v>526</v>
      </c>
      <c r="E213" s="12"/>
      <c r="F213" s="14" t="s">
        <v>56</v>
      </c>
      <c r="G213" s="15">
        <v>1</v>
      </c>
      <c r="H213" s="15">
        <f t="shared" si="43"/>
        <v>47.67</v>
      </c>
      <c r="I213" s="15">
        <f t="shared" si="44"/>
        <v>47.67</v>
      </c>
      <c r="J213" s="12"/>
      <c r="L213" s="5">
        <v>45</v>
      </c>
      <c r="M213" s="5">
        <v>48</v>
      </c>
      <c r="N213" s="5">
        <v>50</v>
      </c>
      <c r="O213" s="28">
        <f t="shared" si="45"/>
        <v>47.67</v>
      </c>
      <c r="P213" s="28" t="e">
        <f>#REF!*O213</f>
        <v>#REF!</v>
      </c>
    </row>
    <row r="214" ht="80" customHeight="1" outlineLevel="1" spans="1:16">
      <c r="A214" s="12">
        <v>10</v>
      </c>
      <c r="B214" s="12" t="s">
        <v>527</v>
      </c>
      <c r="C214" s="12"/>
      <c r="D214" s="12" t="s">
        <v>528</v>
      </c>
      <c r="E214" s="12"/>
      <c r="F214" s="14" t="s">
        <v>56</v>
      </c>
      <c r="G214" s="15">
        <v>1</v>
      </c>
      <c r="H214" s="15">
        <f t="shared" si="43"/>
        <v>56.67</v>
      </c>
      <c r="I214" s="15">
        <f t="shared" si="44"/>
        <v>56.67</v>
      </c>
      <c r="J214" s="12"/>
      <c r="L214" s="5">
        <v>55</v>
      </c>
      <c r="M214" s="5">
        <v>50</v>
      </c>
      <c r="N214" s="5">
        <v>65</v>
      </c>
      <c r="O214" s="28">
        <f t="shared" si="45"/>
        <v>56.67</v>
      </c>
      <c r="P214" s="28" t="e">
        <f>#REF!*O214</f>
        <v>#REF!</v>
      </c>
    </row>
    <row r="215" ht="80" customHeight="1" outlineLevel="1" spans="1:16">
      <c r="A215" s="12">
        <v>11</v>
      </c>
      <c r="B215" s="12" t="s">
        <v>529</v>
      </c>
      <c r="C215" s="12"/>
      <c r="D215" s="12" t="s">
        <v>530</v>
      </c>
      <c r="E215" s="12"/>
      <c r="F215" s="14" t="s">
        <v>116</v>
      </c>
      <c r="G215" s="15">
        <v>1</v>
      </c>
      <c r="H215" s="15">
        <f t="shared" si="43"/>
        <v>24.67</v>
      </c>
      <c r="I215" s="15">
        <f t="shared" si="44"/>
        <v>24.67</v>
      </c>
      <c r="J215" s="12"/>
      <c r="L215" s="5">
        <v>19</v>
      </c>
      <c r="M215" s="5">
        <v>25</v>
      </c>
      <c r="N215" s="5">
        <v>30</v>
      </c>
      <c r="O215" s="28">
        <f t="shared" si="45"/>
        <v>24.67</v>
      </c>
      <c r="P215" s="28" t="e">
        <f>#REF!*O215</f>
        <v>#REF!</v>
      </c>
    </row>
    <row r="216" s="2" customFormat="1" ht="80" customHeight="1" outlineLevel="1" spans="1:16">
      <c r="A216" s="12">
        <v>12</v>
      </c>
      <c r="B216" s="12" t="s">
        <v>531</v>
      </c>
      <c r="C216" s="12"/>
      <c r="D216" s="12" t="s">
        <v>532</v>
      </c>
      <c r="E216" s="12"/>
      <c r="F216" s="14" t="s">
        <v>60</v>
      </c>
      <c r="G216" s="15">
        <v>1</v>
      </c>
      <c r="H216" s="15">
        <f t="shared" si="43"/>
        <v>171</v>
      </c>
      <c r="I216" s="15">
        <f t="shared" si="44"/>
        <v>171</v>
      </c>
      <c r="J216" s="12"/>
      <c r="L216" s="5">
        <v>185</v>
      </c>
      <c r="M216" s="5">
        <v>150</v>
      </c>
      <c r="N216" s="5">
        <v>178</v>
      </c>
      <c r="O216" s="28">
        <f t="shared" si="45"/>
        <v>171</v>
      </c>
      <c r="P216" s="28" t="e">
        <f>#REF!*O216</f>
        <v>#REF!</v>
      </c>
    </row>
    <row r="217" s="2" customFormat="1" ht="80" customHeight="1" outlineLevel="1" spans="1:16">
      <c r="A217" s="12">
        <v>13</v>
      </c>
      <c r="B217" s="12" t="s">
        <v>533</v>
      </c>
      <c r="C217" s="12"/>
      <c r="D217" s="12" t="s">
        <v>534</v>
      </c>
      <c r="E217" s="12"/>
      <c r="F217" s="14" t="s">
        <v>56</v>
      </c>
      <c r="G217" s="15">
        <v>1</v>
      </c>
      <c r="H217" s="15">
        <f t="shared" si="43"/>
        <v>15.67</v>
      </c>
      <c r="I217" s="15">
        <f t="shared" si="44"/>
        <v>15.67</v>
      </c>
      <c r="J217" s="12"/>
      <c r="L217" s="5">
        <v>15</v>
      </c>
      <c r="M217" s="5">
        <v>14</v>
      </c>
      <c r="N217" s="5">
        <v>18</v>
      </c>
      <c r="O217" s="28">
        <f t="shared" si="45"/>
        <v>15.67</v>
      </c>
      <c r="P217" s="28" t="e">
        <f>#REF!*O217</f>
        <v>#REF!</v>
      </c>
    </row>
    <row r="218" s="2" customFormat="1" ht="80" customHeight="1" outlineLevel="1" spans="1:16">
      <c r="A218" s="12">
        <v>14</v>
      </c>
      <c r="B218" s="12" t="s">
        <v>535</v>
      </c>
      <c r="C218" s="12"/>
      <c r="D218" s="12" t="s">
        <v>536</v>
      </c>
      <c r="E218" s="12"/>
      <c r="F218" s="14" t="s">
        <v>56</v>
      </c>
      <c r="G218" s="15">
        <v>1</v>
      </c>
      <c r="H218" s="15">
        <f t="shared" si="43"/>
        <v>200</v>
      </c>
      <c r="I218" s="15">
        <f t="shared" si="44"/>
        <v>200</v>
      </c>
      <c r="J218" s="12"/>
      <c r="L218" s="5">
        <v>160</v>
      </c>
      <c r="M218" s="5">
        <v>200</v>
      </c>
      <c r="N218" s="5">
        <v>240</v>
      </c>
      <c r="O218" s="28">
        <f t="shared" si="45"/>
        <v>200</v>
      </c>
      <c r="P218" s="28" t="e">
        <f>#REF!*O218</f>
        <v>#REF!</v>
      </c>
    </row>
    <row r="219" s="2" customFormat="1" ht="72" outlineLevel="1" spans="1:16">
      <c r="A219" s="12">
        <v>15</v>
      </c>
      <c r="B219" s="12" t="s">
        <v>537</v>
      </c>
      <c r="C219" s="12"/>
      <c r="D219" s="12" t="s">
        <v>538</v>
      </c>
      <c r="E219" s="12"/>
      <c r="F219" s="14" t="s">
        <v>56</v>
      </c>
      <c r="G219" s="15">
        <v>1</v>
      </c>
      <c r="H219" s="15">
        <f t="shared" si="43"/>
        <v>446.67</v>
      </c>
      <c r="I219" s="15">
        <f t="shared" si="44"/>
        <v>446.67</v>
      </c>
      <c r="J219" s="12"/>
      <c r="L219" s="5">
        <v>400</v>
      </c>
      <c r="M219" s="5">
        <v>480</v>
      </c>
      <c r="N219" s="5">
        <v>460</v>
      </c>
      <c r="O219" s="28">
        <f t="shared" si="45"/>
        <v>446.67</v>
      </c>
      <c r="P219" s="28" t="e">
        <f>#REF!*O219</f>
        <v>#REF!</v>
      </c>
    </row>
    <row r="220" s="2" customFormat="1" ht="80" customHeight="1" outlineLevel="1" spans="1:16">
      <c r="A220" s="12">
        <v>16</v>
      </c>
      <c r="B220" s="12" t="s">
        <v>539</v>
      </c>
      <c r="C220" s="12"/>
      <c r="D220" s="12" t="s">
        <v>540</v>
      </c>
      <c r="E220" s="12"/>
      <c r="F220" s="14" t="s">
        <v>541</v>
      </c>
      <c r="G220" s="15">
        <v>1</v>
      </c>
      <c r="H220" s="15">
        <f t="shared" si="43"/>
        <v>200</v>
      </c>
      <c r="I220" s="15">
        <f t="shared" si="44"/>
        <v>200</v>
      </c>
      <c r="J220" s="12"/>
      <c r="L220" s="5">
        <v>210</v>
      </c>
      <c r="M220" s="5">
        <v>190</v>
      </c>
      <c r="N220" s="5">
        <v>200</v>
      </c>
      <c r="O220" s="28">
        <f t="shared" si="45"/>
        <v>200</v>
      </c>
      <c r="P220" s="28" t="e">
        <f>#REF!*O220</f>
        <v>#REF!</v>
      </c>
    </row>
    <row r="221" s="2" customFormat="1" ht="80" customHeight="1" outlineLevel="1" spans="1:16">
      <c r="A221" s="12">
        <v>17</v>
      </c>
      <c r="B221" s="12" t="s">
        <v>542</v>
      </c>
      <c r="C221" s="12"/>
      <c r="D221" s="12" t="s">
        <v>543</v>
      </c>
      <c r="E221" s="12"/>
      <c r="F221" s="14" t="s">
        <v>544</v>
      </c>
      <c r="G221" s="15">
        <v>1</v>
      </c>
      <c r="H221" s="15">
        <f t="shared" si="43"/>
        <v>4.85</v>
      </c>
      <c r="I221" s="15">
        <f t="shared" si="44"/>
        <v>4.85</v>
      </c>
      <c r="J221" s="12"/>
      <c r="L221" s="5">
        <v>4.85</v>
      </c>
      <c r="M221" s="5">
        <v>4.85</v>
      </c>
      <c r="N221" s="5">
        <v>4.85</v>
      </c>
      <c r="O221" s="28">
        <f t="shared" si="45"/>
        <v>4.85</v>
      </c>
      <c r="P221" s="28" t="e">
        <f>#REF!*O221</f>
        <v>#REF!</v>
      </c>
    </row>
    <row r="222" ht="80" customHeight="1" outlineLevel="1" spans="1:16">
      <c r="A222" s="12">
        <v>18</v>
      </c>
      <c r="B222" s="12" t="s">
        <v>545</v>
      </c>
      <c r="C222" s="12"/>
      <c r="D222" s="12" t="s">
        <v>546</v>
      </c>
      <c r="E222" s="12"/>
      <c r="F222" s="14" t="s">
        <v>56</v>
      </c>
      <c r="G222" s="15">
        <v>1</v>
      </c>
      <c r="H222" s="15">
        <f t="shared" si="43"/>
        <v>743.33</v>
      </c>
      <c r="I222" s="15">
        <f t="shared" si="44"/>
        <v>743.33</v>
      </c>
      <c r="J222" s="12"/>
      <c r="L222" s="5">
        <v>650</v>
      </c>
      <c r="M222" s="5">
        <v>800</v>
      </c>
      <c r="N222" s="5">
        <v>780</v>
      </c>
      <c r="O222" s="28">
        <f t="shared" si="45"/>
        <v>743.33</v>
      </c>
      <c r="P222" s="28" t="e">
        <f>#REF!*O222</f>
        <v>#REF!</v>
      </c>
    </row>
    <row r="223" ht="80" customHeight="1" outlineLevel="1" spans="1:16">
      <c r="A223" s="12">
        <v>19</v>
      </c>
      <c r="B223" s="12" t="s">
        <v>547</v>
      </c>
      <c r="C223" s="12"/>
      <c r="D223" s="12" t="s">
        <v>548</v>
      </c>
      <c r="E223" s="12"/>
      <c r="F223" s="14" t="s">
        <v>180</v>
      </c>
      <c r="G223" s="15">
        <v>1</v>
      </c>
      <c r="H223" s="15">
        <f t="shared" si="43"/>
        <v>240</v>
      </c>
      <c r="I223" s="15">
        <f t="shared" si="44"/>
        <v>240</v>
      </c>
      <c r="J223" s="12"/>
      <c r="L223" s="5">
        <v>230</v>
      </c>
      <c r="M223" s="5">
        <v>300</v>
      </c>
      <c r="N223" s="5">
        <v>190</v>
      </c>
      <c r="O223" s="28">
        <f t="shared" si="45"/>
        <v>240</v>
      </c>
      <c r="P223" s="28" t="e">
        <f>#REF!*O223</f>
        <v>#REF!</v>
      </c>
    </row>
    <row r="224" ht="80" customHeight="1" outlineLevel="1" spans="1:16">
      <c r="A224" s="12">
        <v>20</v>
      </c>
      <c r="B224" s="12" t="s">
        <v>549</v>
      </c>
      <c r="C224" s="12"/>
      <c r="D224" s="12" t="s">
        <v>550</v>
      </c>
      <c r="E224" s="12"/>
      <c r="F224" s="14" t="s">
        <v>180</v>
      </c>
      <c r="G224" s="15">
        <v>1</v>
      </c>
      <c r="H224" s="15">
        <f t="shared" si="43"/>
        <v>450</v>
      </c>
      <c r="I224" s="15">
        <f t="shared" si="44"/>
        <v>450</v>
      </c>
      <c r="J224" s="12"/>
      <c r="L224" s="5">
        <v>400</v>
      </c>
      <c r="M224" s="5">
        <v>450</v>
      </c>
      <c r="N224" s="5">
        <v>500</v>
      </c>
      <c r="O224" s="28">
        <f t="shared" si="45"/>
        <v>450</v>
      </c>
      <c r="P224" s="28" t="e">
        <f>#REF!*O224</f>
        <v>#REF!</v>
      </c>
    </row>
    <row r="225" ht="80" customHeight="1" outlineLevel="1" spans="1:16">
      <c r="A225" s="12">
        <v>21</v>
      </c>
      <c r="B225" s="12" t="s">
        <v>551</v>
      </c>
      <c r="C225" s="12"/>
      <c r="D225" s="12" t="s">
        <v>552</v>
      </c>
      <c r="E225" s="12"/>
      <c r="F225" s="14" t="s">
        <v>180</v>
      </c>
      <c r="G225" s="15">
        <v>1</v>
      </c>
      <c r="H225" s="15">
        <f t="shared" si="43"/>
        <v>4466.67</v>
      </c>
      <c r="I225" s="15">
        <f t="shared" si="44"/>
        <v>4466.67</v>
      </c>
      <c r="J225" s="12"/>
      <c r="L225" s="5">
        <v>4500</v>
      </c>
      <c r="M225" s="5">
        <v>4300</v>
      </c>
      <c r="N225" s="5">
        <v>4600</v>
      </c>
      <c r="O225" s="28">
        <f t="shared" si="45"/>
        <v>4466.67</v>
      </c>
      <c r="P225" s="28" t="e">
        <f>#REF!*O225</f>
        <v>#REF!</v>
      </c>
    </row>
    <row r="226" s="2" customFormat="1" ht="80" customHeight="1" outlineLevel="1" spans="1:16">
      <c r="A226" s="12">
        <v>22</v>
      </c>
      <c r="B226" s="12" t="s">
        <v>553</v>
      </c>
      <c r="C226" s="12"/>
      <c r="D226" s="12" t="s">
        <v>554</v>
      </c>
      <c r="E226" s="12"/>
      <c r="F226" s="14" t="s">
        <v>60</v>
      </c>
      <c r="G226" s="15">
        <v>1</v>
      </c>
      <c r="H226" s="15">
        <f t="shared" si="43"/>
        <v>220</v>
      </c>
      <c r="I226" s="15">
        <f t="shared" si="44"/>
        <v>220</v>
      </c>
      <c r="J226" s="12"/>
      <c r="L226" s="5">
        <v>250</v>
      </c>
      <c r="M226" s="5">
        <v>190</v>
      </c>
      <c r="N226" s="5">
        <v>220</v>
      </c>
      <c r="O226" s="28">
        <f t="shared" si="45"/>
        <v>220</v>
      </c>
      <c r="P226" s="28" t="e">
        <f>#REF!*O226</f>
        <v>#REF!</v>
      </c>
    </row>
    <row r="227" ht="80" customHeight="1" outlineLevel="1" spans="1:16">
      <c r="A227" s="12">
        <v>23</v>
      </c>
      <c r="B227" s="12" t="s">
        <v>555</v>
      </c>
      <c r="C227" s="12"/>
      <c r="D227" s="12" t="s">
        <v>556</v>
      </c>
      <c r="E227" s="12"/>
      <c r="F227" s="14" t="s">
        <v>56</v>
      </c>
      <c r="G227" s="15">
        <v>1</v>
      </c>
      <c r="H227" s="15">
        <f t="shared" si="43"/>
        <v>2.91</v>
      </c>
      <c r="I227" s="15">
        <f t="shared" si="44"/>
        <v>2.91</v>
      </c>
      <c r="J227" s="12"/>
      <c r="L227" s="5">
        <v>2.91</v>
      </c>
      <c r="M227" s="5">
        <v>2.91</v>
      </c>
      <c r="N227" s="5">
        <v>2.91</v>
      </c>
      <c r="O227" s="28">
        <f t="shared" si="45"/>
        <v>2.91</v>
      </c>
      <c r="P227" s="28" t="e">
        <f>#REF!*O227</f>
        <v>#REF!</v>
      </c>
    </row>
    <row r="228" s="1" customFormat="1" ht="43" customHeight="1" spans="1:16">
      <c r="A228" s="8" t="s">
        <v>557</v>
      </c>
      <c r="B228" s="8" t="s">
        <v>558</v>
      </c>
      <c r="C228" s="8"/>
      <c r="D228" s="8"/>
      <c r="E228" s="8"/>
      <c r="F228" s="24"/>
      <c r="G228" s="10"/>
      <c r="H228" s="10"/>
      <c r="I228" s="10">
        <f>SUM(I229:I231)</f>
        <v>196877.46</v>
      </c>
      <c r="J228" s="26"/>
      <c r="L228" s="27"/>
      <c r="M228" s="27"/>
      <c r="N228" s="27"/>
      <c r="O228" s="28">
        <f t="shared" si="45"/>
        <v>0</v>
      </c>
      <c r="P228" s="28" t="e">
        <f>#REF!*O228</f>
        <v>#REF!</v>
      </c>
    </row>
    <row r="229" ht="80" customHeight="1" outlineLevel="1" spans="1:16">
      <c r="A229" s="12">
        <v>1</v>
      </c>
      <c r="B229" s="12" t="s">
        <v>559</v>
      </c>
      <c r="C229" s="12"/>
      <c r="D229" s="12" t="s">
        <v>560</v>
      </c>
      <c r="E229" s="12"/>
      <c r="F229" s="12" t="s">
        <v>60</v>
      </c>
      <c r="G229" s="15">
        <v>218</v>
      </c>
      <c r="H229" s="15">
        <v>731.67</v>
      </c>
      <c r="I229" s="15">
        <f t="shared" ref="I229:I231" si="46">ROUND(G229*H229,2)</f>
        <v>159504.06</v>
      </c>
      <c r="J229" s="12"/>
      <c r="L229" s="5">
        <v>735</v>
      </c>
      <c r="M229" s="5">
        <v>760</v>
      </c>
      <c r="N229" s="5">
        <v>700</v>
      </c>
      <c r="O229" s="28">
        <f t="shared" si="45"/>
        <v>731.67</v>
      </c>
      <c r="P229" s="28" t="e">
        <f>#REF!*O229</f>
        <v>#REF!</v>
      </c>
    </row>
    <row r="230" ht="80" customHeight="1" outlineLevel="1" spans="1:16">
      <c r="A230" s="12">
        <v>2</v>
      </c>
      <c r="B230" s="12" t="s">
        <v>561</v>
      </c>
      <c r="C230" s="12"/>
      <c r="D230" s="12" t="s">
        <v>562</v>
      </c>
      <c r="E230" s="12"/>
      <c r="F230" s="12" t="s">
        <v>60</v>
      </c>
      <c r="G230" s="15">
        <v>218</v>
      </c>
      <c r="H230" s="15">
        <v>159.67</v>
      </c>
      <c r="I230" s="15">
        <f t="shared" si="46"/>
        <v>34808.06</v>
      </c>
      <c r="J230" s="12"/>
      <c r="L230" s="5">
        <v>159</v>
      </c>
      <c r="M230" s="5">
        <v>180</v>
      </c>
      <c r="N230" s="5">
        <v>140</v>
      </c>
      <c r="O230" s="28">
        <f t="shared" si="45"/>
        <v>159.67</v>
      </c>
      <c r="P230" s="28" t="e">
        <f>#REF!*O230</f>
        <v>#REF!</v>
      </c>
    </row>
    <row r="231" ht="80" customHeight="1" outlineLevel="1" spans="1:16">
      <c r="A231" s="12">
        <v>3</v>
      </c>
      <c r="B231" s="12" t="s">
        <v>563</v>
      </c>
      <c r="C231" s="12"/>
      <c r="D231" s="12" t="s">
        <v>564</v>
      </c>
      <c r="E231" s="12"/>
      <c r="F231" s="12" t="s">
        <v>60</v>
      </c>
      <c r="G231" s="15">
        <v>2</v>
      </c>
      <c r="H231" s="15">
        <v>1282.67</v>
      </c>
      <c r="I231" s="15">
        <f t="shared" si="46"/>
        <v>2565.34</v>
      </c>
      <c r="J231" s="12"/>
      <c r="L231" s="5">
        <v>1290</v>
      </c>
      <c r="M231" s="5">
        <v>1390</v>
      </c>
      <c r="N231" s="5">
        <v>1168</v>
      </c>
      <c r="O231" s="28">
        <f t="shared" si="45"/>
        <v>1282.67</v>
      </c>
      <c r="P231" s="28" t="e">
        <f>#REF!*O231</f>
        <v>#REF!</v>
      </c>
    </row>
    <row r="232" s="1" customFormat="1" ht="43" customHeight="1" spans="1:16">
      <c r="A232" s="8" t="s">
        <v>565</v>
      </c>
      <c r="B232" s="8" t="s">
        <v>566</v>
      </c>
      <c r="C232" s="8"/>
      <c r="D232" s="8"/>
      <c r="E232" s="8"/>
      <c r="F232" s="24"/>
      <c r="G232" s="10"/>
      <c r="H232" s="10"/>
      <c r="I232" s="10">
        <f>SUM(I233:I234)</f>
        <v>33797.01</v>
      </c>
      <c r="J232" s="26"/>
      <c r="L232" s="27"/>
      <c r="M232" s="27"/>
      <c r="N232" s="27"/>
      <c r="O232" s="28">
        <f t="shared" si="45"/>
        <v>0</v>
      </c>
      <c r="P232" s="28" t="e">
        <f>#REF!*O232</f>
        <v>#REF!</v>
      </c>
    </row>
    <row r="233" s="2" customFormat="1" ht="80" customHeight="1" outlineLevel="1" spans="1:16">
      <c r="A233" s="12">
        <v>1</v>
      </c>
      <c r="B233" s="12" t="s">
        <v>567</v>
      </c>
      <c r="C233" s="12"/>
      <c r="D233" s="12" t="s">
        <v>568</v>
      </c>
      <c r="E233" s="12"/>
      <c r="F233" s="12" t="s">
        <v>180</v>
      </c>
      <c r="G233" s="15">
        <v>6</v>
      </c>
      <c r="H233" s="15">
        <f>O233</f>
        <v>4466.67</v>
      </c>
      <c r="I233" s="15">
        <f t="shared" ref="I233:I275" si="47">ROUND(G233*H233,2)</f>
        <v>26800.02</v>
      </c>
      <c r="J233" s="12"/>
      <c r="K233" s="41"/>
      <c r="L233" s="42">
        <v>4500</v>
      </c>
      <c r="M233" s="42">
        <v>4300</v>
      </c>
      <c r="N233" s="42">
        <v>4600</v>
      </c>
      <c r="O233" s="28">
        <f t="shared" si="45"/>
        <v>4466.67</v>
      </c>
      <c r="P233" s="28" t="e">
        <f>#REF!*O233</f>
        <v>#REF!</v>
      </c>
    </row>
    <row r="234" s="2" customFormat="1" ht="80" customHeight="1" outlineLevel="1" spans="1:16">
      <c r="A234" s="12">
        <v>2</v>
      </c>
      <c r="B234" s="12" t="s">
        <v>569</v>
      </c>
      <c r="C234" s="12"/>
      <c r="D234" s="12" t="s">
        <v>570</v>
      </c>
      <c r="E234" s="12"/>
      <c r="F234" s="12" t="s">
        <v>180</v>
      </c>
      <c r="G234" s="15">
        <v>3</v>
      </c>
      <c r="H234" s="15">
        <f>O234</f>
        <v>2332.33</v>
      </c>
      <c r="I234" s="15">
        <f t="shared" si="47"/>
        <v>6996.99</v>
      </c>
      <c r="J234" s="12"/>
      <c r="K234" s="41"/>
      <c r="L234" s="42">
        <v>2299</v>
      </c>
      <c r="M234" s="42">
        <v>2199</v>
      </c>
      <c r="N234" s="42">
        <v>2499</v>
      </c>
      <c r="O234" s="28">
        <f t="shared" si="45"/>
        <v>2332.33</v>
      </c>
      <c r="P234" s="28" t="e">
        <f>#REF!*O234</f>
        <v>#REF!</v>
      </c>
    </row>
    <row r="235" s="1" customFormat="1" ht="43" customHeight="1" spans="1:16">
      <c r="A235" s="8" t="s">
        <v>11</v>
      </c>
      <c r="B235" s="8" t="s">
        <v>12</v>
      </c>
      <c r="C235" s="8"/>
      <c r="D235" s="8"/>
      <c r="E235" s="8"/>
      <c r="F235" s="24"/>
      <c r="G235" s="10"/>
      <c r="H235" s="10"/>
      <c r="I235" s="10">
        <f>SUM(I236:I280)</f>
        <v>63125.17</v>
      </c>
      <c r="J235" s="26"/>
      <c r="K235" s="1" t="e">
        <f>#REF!-#REF!-#REF!</f>
        <v>#REF!</v>
      </c>
      <c r="L235" s="27"/>
      <c r="M235" s="27"/>
      <c r="N235" s="27"/>
      <c r="O235" s="28">
        <f t="shared" si="45"/>
        <v>0</v>
      </c>
      <c r="P235" s="28" t="e">
        <f>#REF!*O235</f>
        <v>#REF!</v>
      </c>
    </row>
    <row r="236" ht="80" customHeight="1" outlineLevel="1" spans="1:16">
      <c r="A236" s="12">
        <v>1</v>
      </c>
      <c r="B236" s="12" t="s">
        <v>13</v>
      </c>
      <c r="C236" s="39" t="str">
        <f>_xlfn.DISPIMG("ID_F3DB7805EDA74871A997B73C92C58C42",1)</f>
        <v>=DISPIMG("ID_F3DB7805EDA74871A997B73C92C58C42",1)</v>
      </c>
      <c r="D236" s="12" t="s">
        <v>14</v>
      </c>
      <c r="E236" s="12" t="s">
        <v>15</v>
      </c>
      <c r="F236" s="14" t="s">
        <v>16</v>
      </c>
      <c r="G236" s="15">
        <v>1</v>
      </c>
      <c r="H236" s="15">
        <v>616.67</v>
      </c>
      <c r="I236" s="15">
        <f t="shared" si="47"/>
        <v>616.67</v>
      </c>
      <c r="J236" s="12"/>
      <c r="L236" s="5">
        <v>600</v>
      </c>
      <c r="M236" s="5">
        <v>650</v>
      </c>
      <c r="N236" s="5">
        <v>600</v>
      </c>
      <c r="O236" s="28">
        <f t="shared" si="45"/>
        <v>616.67</v>
      </c>
      <c r="P236" s="28" t="e">
        <f>#REF!*O236</f>
        <v>#REF!</v>
      </c>
    </row>
    <row r="237" ht="80" customHeight="1" outlineLevel="1" spans="1:16">
      <c r="A237" s="12">
        <v>2</v>
      </c>
      <c r="B237" s="12" t="s">
        <v>17</v>
      </c>
      <c r="C237" s="39" t="str">
        <f>_xlfn.DISPIMG("ID_D3813FBA72DA4343BA64DE35A4FACDBD",1)</f>
        <v>=DISPIMG("ID_D3813FBA72DA4343BA64DE35A4FACDBD",1)</v>
      </c>
      <c r="D237" s="12" t="s">
        <v>18</v>
      </c>
      <c r="E237" s="12"/>
      <c r="F237" s="14" t="s">
        <v>20</v>
      </c>
      <c r="G237" s="15">
        <v>200</v>
      </c>
      <c r="H237" s="15">
        <v>3.37</v>
      </c>
      <c r="I237" s="15">
        <f t="shared" si="47"/>
        <v>674</v>
      </c>
      <c r="J237" s="12"/>
      <c r="L237" s="5">
        <v>3.5</v>
      </c>
      <c r="M237" s="5">
        <v>3</v>
      </c>
      <c r="N237" s="5">
        <v>3.6</v>
      </c>
      <c r="O237" s="28">
        <f t="shared" si="45"/>
        <v>3.37</v>
      </c>
      <c r="P237" s="28" t="e">
        <f>#REF!*O237</f>
        <v>#REF!</v>
      </c>
    </row>
    <row r="238" ht="80" customHeight="1" outlineLevel="1" spans="1:16">
      <c r="A238" s="12">
        <v>3</v>
      </c>
      <c r="B238" s="12" t="s">
        <v>22</v>
      </c>
      <c r="C238" s="40" t="str">
        <f>_xlfn.DISPIMG("ID_6B8B627AB5A94DEE99FAAF5638692484",1)</f>
        <v>=DISPIMG("ID_6B8B627AB5A94DEE99FAAF5638692484",1)</v>
      </c>
      <c r="D238" s="12" t="s">
        <v>23</v>
      </c>
      <c r="E238" s="12" t="s">
        <v>24</v>
      </c>
      <c r="F238" s="14" t="s">
        <v>16</v>
      </c>
      <c r="G238" s="15">
        <v>20</v>
      </c>
      <c r="H238" s="15">
        <v>148.33</v>
      </c>
      <c r="I238" s="15">
        <f t="shared" si="47"/>
        <v>2966.6</v>
      </c>
      <c r="J238" s="12"/>
      <c r="L238" s="5">
        <v>140</v>
      </c>
      <c r="M238" s="5">
        <v>145</v>
      </c>
      <c r="N238" s="5">
        <v>160</v>
      </c>
      <c r="O238" s="28">
        <f t="shared" si="45"/>
        <v>148.33</v>
      </c>
      <c r="P238" s="28" t="e">
        <f>#REF!*O238</f>
        <v>#REF!</v>
      </c>
    </row>
    <row r="239" ht="80" customHeight="1" outlineLevel="1" spans="1:16">
      <c r="A239" s="12">
        <v>4</v>
      </c>
      <c r="B239" s="12" t="s">
        <v>25</v>
      </c>
      <c r="C239" s="40" t="str">
        <f>_xlfn.DISPIMG("ID_776FF81B874F42E9B8616796A747A4B8",1)</f>
        <v>=DISPIMG("ID_776FF81B874F42E9B8616796A747A4B8",1)</v>
      </c>
      <c r="D239" s="12" t="s">
        <v>26</v>
      </c>
      <c r="E239" s="12" t="s">
        <v>27</v>
      </c>
      <c r="F239" s="14" t="s">
        <v>16</v>
      </c>
      <c r="G239" s="15">
        <v>4</v>
      </c>
      <c r="H239" s="15">
        <v>94</v>
      </c>
      <c r="I239" s="15">
        <f t="shared" si="47"/>
        <v>376</v>
      </c>
      <c r="J239" s="12"/>
      <c r="L239" s="5">
        <v>95</v>
      </c>
      <c r="M239" s="5">
        <v>89</v>
      </c>
      <c r="N239" s="5">
        <v>98</v>
      </c>
      <c r="O239" s="28">
        <f t="shared" si="45"/>
        <v>94</v>
      </c>
      <c r="P239" s="28" t="e">
        <f>#REF!*O239</f>
        <v>#REF!</v>
      </c>
    </row>
    <row r="240" ht="80" customHeight="1" outlineLevel="1" spans="1:16">
      <c r="A240" s="12">
        <v>5</v>
      </c>
      <c r="B240" s="12" t="s">
        <v>571</v>
      </c>
      <c r="C240" s="39" t="str">
        <f>_xlfn.DISPIMG("ID_4F0AF02396724C31B6D7786B5CC213F4",1)</f>
        <v>=DISPIMG("ID_4F0AF02396724C31B6D7786B5CC213F4",1)</v>
      </c>
      <c r="D240" s="12" t="s">
        <v>572</v>
      </c>
      <c r="E240" s="12"/>
      <c r="F240" s="14" t="s">
        <v>64</v>
      </c>
      <c r="G240" s="15">
        <v>1</v>
      </c>
      <c r="H240" s="15">
        <f t="shared" ref="H240:H276" si="48">O240</f>
        <v>253.33</v>
      </c>
      <c r="I240" s="15">
        <f t="shared" si="47"/>
        <v>253.33</v>
      </c>
      <c r="J240" s="12"/>
      <c r="L240" s="5">
        <v>245</v>
      </c>
      <c r="M240" s="5">
        <v>280</v>
      </c>
      <c r="N240" s="5">
        <v>235</v>
      </c>
      <c r="O240" s="28">
        <f t="shared" si="45"/>
        <v>253.33</v>
      </c>
      <c r="P240" s="28" t="e">
        <f>#REF!*O240</f>
        <v>#REF!</v>
      </c>
    </row>
    <row r="241" ht="80" customHeight="1" outlineLevel="1" spans="1:16">
      <c r="A241" s="12">
        <v>6</v>
      </c>
      <c r="B241" s="12" t="s">
        <v>28</v>
      </c>
      <c r="C241" s="40" t="str">
        <f>_xlfn.DISPIMG("ID_64CE7C0FCE5E4B57B6276779C7D82EF6",1)</f>
        <v>=DISPIMG("ID_64CE7C0FCE5E4B57B6276779C7D82EF6",1)</v>
      </c>
      <c r="D241" s="12" t="s">
        <v>29</v>
      </c>
      <c r="E241" s="12" t="s">
        <v>30</v>
      </c>
      <c r="F241" s="14" t="s">
        <v>16</v>
      </c>
      <c r="G241" s="15">
        <v>136</v>
      </c>
      <c r="H241" s="15">
        <f t="shared" si="48"/>
        <v>32.67</v>
      </c>
      <c r="I241" s="15">
        <f t="shared" si="47"/>
        <v>4443.12</v>
      </c>
      <c r="J241" s="12"/>
      <c r="L241" s="5">
        <v>39</v>
      </c>
      <c r="M241" s="5">
        <v>35</v>
      </c>
      <c r="N241" s="5">
        <v>24</v>
      </c>
      <c r="O241" s="28">
        <f t="shared" si="45"/>
        <v>32.67</v>
      </c>
      <c r="P241" s="28" t="e">
        <f>#REF!*O241</f>
        <v>#REF!</v>
      </c>
    </row>
    <row r="242" ht="80" customHeight="1" outlineLevel="1" spans="1:16">
      <c r="A242" s="12">
        <v>7</v>
      </c>
      <c r="B242" s="12" t="s">
        <v>31</v>
      </c>
      <c r="C242" s="40" t="str">
        <f>_xlfn.DISPIMG("ID_20F5540D3FA443C0BCDEFA1850B4E551",1)</f>
        <v>=DISPIMG("ID_20F5540D3FA443C0BCDEFA1850B4E551",1)</v>
      </c>
      <c r="D242" s="12" t="s">
        <v>32</v>
      </c>
      <c r="E242" s="12" t="s">
        <v>33</v>
      </c>
      <c r="F242" s="14" t="s">
        <v>16</v>
      </c>
      <c r="G242" s="15">
        <v>1</v>
      </c>
      <c r="H242" s="15">
        <f t="shared" si="48"/>
        <v>68.33</v>
      </c>
      <c r="I242" s="15">
        <f t="shared" si="47"/>
        <v>68.33</v>
      </c>
      <c r="J242" s="12"/>
      <c r="L242" s="5">
        <v>75</v>
      </c>
      <c r="M242" s="5">
        <v>62</v>
      </c>
      <c r="N242" s="5">
        <v>68</v>
      </c>
      <c r="O242" s="28">
        <f t="shared" si="45"/>
        <v>68.33</v>
      </c>
      <c r="P242" s="28" t="e">
        <f>#REF!*O242</f>
        <v>#REF!</v>
      </c>
    </row>
    <row r="243" ht="80" customHeight="1" outlineLevel="1" spans="1:16">
      <c r="A243" s="12">
        <v>8</v>
      </c>
      <c r="B243" s="12" t="s">
        <v>35</v>
      </c>
      <c r="C243" s="39" t="str">
        <f>_xlfn.DISPIMG("ID_06B6B717D7D04AC19531247F46D38394",1)</f>
        <v>=DISPIMG("ID_06B6B717D7D04AC19531247F46D38394",1)</v>
      </c>
      <c r="D243" s="12" t="s">
        <v>29</v>
      </c>
      <c r="E243" s="12" t="s">
        <v>36</v>
      </c>
      <c r="F243" s="14" t="s">
        <v>16</v>
      </c>
      <c r="G243" s="15">
        <v>20</v>
      </c>
      <c r="H243" s="15">
        <f t="shared" si="48"/>
        <v>35.67</v>
      </c>
      <c r="I243" s="15">
        <f t="shared" si="47"/>
        <v>713.4</v>
      </c>
      <c r="J243" s="12"/>
      <c r="L243" s="5">
        <v>35</v>
      </c>
      <c r="M243" s="5">
        <v>28</v>
      </c>
      <c r="N243" s="5">
        <v>44</v>
      </c>
      <c r="O243" s="28">
        <f t="shared" si="45"/>
        <v>35.67</v>
      </c>
      <c r="P243" s="28" t="e">
        <f>#REF!*O243</f>
        <v>#REF!</v>
      </c>
    </row>
    <row r="244" ht="80" customHeight="1" outlineLevel="1" spans="1:16">
      <c r="A244" s="12">
        <v>9</v>
      </c>
      <c r="B244" s="12" t="s">
        <v>37</v>
      </c>
      <c r="C244" s="39" t="str">
        <f>_xlfn.DISPIMG("ID_8BDF2290FCCB4D0C8EDF02F3269C5F8C",1)</f>
        <v>=DISPIMG("ID_8BDF2290FCCB4D0C8EDF02F3269C5F8C",1)</v>
      </c>
      <c r="D244" s="12" t="s">
        <v>23</v>
      </c>
      <c r="E244" s="12" t="s">
        <v>38</v>
      </c>
      <c r="F244" s="14" t="s">
        <v>16</v>
      </c>
      <c r="G244" s="15">
        <v>15</v>
      </c>
      <c r="H244" s="15">
        <f t="shared" si="48"/>
        <v>40.67</v>
      </c>
      <c r="I244" s="15">
        <f t="shared" si="47"/>
        <v>610.05</v>
      </c>
      <c r="J244" s="12"/>
      <c r="L244" s="5">
        <v>40</v>
      </c>
      <c r="M244" s="5">
        <v>42</v>
      </c>
      <c r="N244" s="5">
        <v>40</v>
      </c>
      <c r="O244" s="28">
        <f t="shared" si="45"/>
        <v>40.67</v>
      </c>
      <c r="P244" s="28" t="e">
        <f>#REF!*O244</f>
        <v>#REF!</v>
      </c>
    </row>
    <row r="245" ht="80" customHeight="1" outlineLevel="1" spans="1:16">
      <c r="A245" s="12">
        <v>10</v>
      </c>
      <c r="B245" s="12" t="s">
        <v>37</v>
      </c>
      <c r="C245" s="39" t="str">
        <f>_xlfn.DISPIMG("ID_1F5BD9A5044F4AD2AE51E984473EAC39",1)</f>
        <v>=DISPIMG("ID_1F5BD9A5044F4AD2AE51E984473EAC39",1)</v>
      </c>
      <c r="D245" s="12" t="s">
        <v>23</v>
      </c>
      <c r="E245" s="12" t="s">
        <v>39</v>
      </c>
      <c r="F245" s="14" t="s">
        <v>16</v>
      </c>
      <c r="G245" s="15">
        <v>15</v>
      </c>
      <c r="H245" s="15">
        <f t="shared" si="48"/>
        <v>20.33</v>
      </c>
      <c r="I245" s="15">
        <f t="shared" si="47"/>
        <v>304.95</v>
      </c>
      <c r="J245" s="12"/>
      <c r="L245" s="5">
        <v>20</v>
      </c>
      <c r="M245" s="5">
        <v>19</v>
      </c>
      <c r="N245" s="5">
        <v>22</v>
      </c>
      <c r="O245" s="28">
        <f t="shared" si="45"/>
        <v>20.33</v>
      </c>
      <c r="P245" s="28" t="e">
        <f>#REF!*O245</f>
        <v>#REF!</v>
      </c>
    </row>
    <row r="246" ht="80" customHeight="1" outlineLevel="1" spans="1:16">
      <c r="A246" s="12">
        <v>11</v>
      </c>
      <c r="B246" s="12" t="s">
        <v>37</v>
      </c>
      <c r="C246" s="40" t="str">
        <f>_xlfn.DISPIMG("ID_BC53B4001AB64F05AB5A513F7BB20A0C",1)</f>
        <v>=DISPIMG("ID_BC53B4001AB64F05AB5A513F7BB20A0C",1)</v>
      </c>
      <c r="D246" s="12" t="s">
        <v>23</v>
      </c>
      <c r="E246" s="12" t="s">
        <v>40</v>
      </c>
      <c r="F246" s="14" t="s">
        <v>16</v>
      </c>
      <c r="G246" s="15">
        <v>15</v>
      </c>
      <c r="H246" s="15">
        <f t="shared" si="48"/>
        <v>20.33</v>
      </c>
      <c r="I246" s="15">
        <f t="shared" si="47"/>
        <v>304.95</v>
      </c>
      <c r="J246" s="12"/>
      <c r="L246" s="5">
        <v>20</v>
      </c>
      <c r="M246" s="5">
        <v>19</v>
      </c>
      <c r="N246" s="5">
        <v>22</v>
      </c>
      <c r="O246" s="28">
        <f t="shared" si="45"/>
        <v>20.33</v>
      </c>
      <c r="P246" s="28" t="e">
        <f>#REF!*O246</f>
        <v>#REF!</v>
      </c>
    </row>
    <row r="247" ht="80" customHeight="1" outlineLevel="1" spans="1:16">
      <c r="A247" s="12">
        <v>12</v>
      </c>
      <c r="B247" s="12" t="s">
        <v>41</v>
      </c>
      <c r="C247" s="40" t="str">
        <f>_xlfn.DISPIMG("ID_7BFC56F4A86542D7B7F3D117DB67D530",1)</f>
        <v>=DISPIMG("ID_7BFC56F4A86542D7B7F3D117DB67D530",1)</v>
      </c>
      <c r="D247" s="12" t="s">
        <v>29</v>
      </c>
      <c r="E247" s="12" t="s">
        <v>38</v>
      </c>
      <c r="F247" s="14" t="s">
        <v>16</v>
      </c>
      <c r="G247" s="15">
        <v>15</v>
      </c>
      <c r="H247" s="15">
        <f t="shared" si="48"/>
        <v>61.33</v>
      </c>
      <c r="I247" s="15">
        <f t="shared" si="47"/>
        <v>919.95</v>
      </c>
      <c r="J247" s="12"/>
      <c r="L247" s="5">
        <v>60</v>
      </c>
      <c r="M247" s="5">
        <v>60</v>
      </c>
      <c r="N247" s="5">
        <v>64</v>
      </c>
      <c r="O247" s="28">
        <f t="shared" si="45"/>
        <v>61.33</v>
      </c>
      <c r="P247" s="28" t="e">
        <f>#REF!*O247</f>
        <v>#REF!</v>
      </c>
    </row>
    <row r="248" ht="80" customHeight="1" outlineLevel="1" spans="1:16">
      <c r="A248" s="12">
        <v>13</v>
      </c>
      <c r="B248" s="12" t="s">
        <v>37</v>
      </c>
      <c r="C248" s="39" t="str">
        <f>_xlfn.DISPIMG("ID_B9B9CB424A0940A4ADDDFB998E56FF1F",1)</f>
        <v>=DISPIMG("ID_B9B9CB424A0940A4ADDDFB998E56FF1F",1)</v>
      </c>
      <c r="D248" s="12" t="s">
        <v>29</v>
      </c>
      <c r="E248" s="12" t="s">
        <v>42</v>
      </c>
      <c r="F248" s="14" t="s">
        <v>16</v>
      </c>
      <c r="G248" s="15">
        <v>15</v>
      </c>
      <c r="H248" s="15">
        <f t="shared" si="48"/>
        <v>20.33</v>
      </c>
      <c r="I248" s="15">
        <f t="shared" si="47"/>
        <v>304.95</v>
      </c>
      <c r="J248" s="12"/>
      <c r="L248" s="5">
        <v>20</v>
      </c>
      <c r="M248" s="5">
        <v>19</v>
      </c>
      <c r="N248" s="5">
        <v>22</v>
      </c>
      <c r="O248" s="28">
        <f t="shared" si="45"/>
        <v>20.33</v>
      </c>
      <c r="P248" s="28" t="e">
        <f>#REF!*O248</f>
        <v>#REF!</v>
      </c>
    </row>
    <row r="249" ht="80" customHeight="1" outlineLevel="1" spans="1:16">
      <c r="A249" s="12">
        <v>14</v>
      </c>
      <c r="B249" s="12" t="s">
        <v>43</v>
      </c>
      <c r="C249" s="39" t="str">
        <f>_xlfn.DISPIMG("ID_3C71DB95F89C40C9A33FDD331BCD46BA",1)</f>
        <v>=DISPIMG("ID_3C71DB95F89C40C9A33FDD331BCD46BA",1)</v>
      </c>
      <c r="D249" s="12" t="s">
        <v>29</v>
      </c>
      <c r="E249" s="12" t="s">
        <v>44</v>
      </c>
      <c r="F249" s="14" t="s">
        <v>16</v>
      </c>
      <c r="G249" s="15">
        <v>8</v>
      </c>
      <c r="H249" s="15">
        <f t="shared" si="48"/>
        <v>82.67</v>
      </c>
      <c r="I249" s="15">
        <f t="shared" si="47"/>
        <v>661.36</v>
      </c>
      <c r="J249" s="12"/>
      <c r="L249" s="5">
        <v>80</v>
      </c>
      <c r="M249" s="5">
        <v>78</v>
      </c>
      <c r="N249" s="5">
        <v>90</v>
      </c>
      <c r="O249" s="28">
        <f t="shared" si="45"/>
        <v>82.67</v>
      </c>
      <c r="P249" s="28" t="e">
        <f>#REF!*O249</f>
        <v>#REF!</v>
      </c>
    </row>
    <row r="250" ht="80" customHeight="1" outlineLevel="1" spans="1:16">
      <c r="A250" s="12">
        <v>15</v>
      </c>
      <c r="B250" s="12" t="s">
        <v>573</v>
      </c>
      <c r="C250" s="39" t="str">
        <f>_xlfn.DISPIMG("ID_C18F3C1FAF9F4B5893FD81A7C5BD455A",1)</f>
        <v>=DISPIMG("ID_C18F3C1FAF9F4B5893FD81A7C5BD455A",1)</v>
      </c>
      <c r="D250" s="12" t="s">
        <v>32</v>
      </c>
      <c r="E250" s="12" t="s">
        <v>574</v>
      </c>
      <c r="F250" s="14" t="s">
        <v>16</v>
      </c>
      <c r="G250" s="15">
        <v>3</v>
      </c>
      <c r="H250" s="15">
        <f t="shared" si="48"/>
        <v>308.33</v>
      </c>
      <c r="I250" s="15">
        <f t="shared" si="47"/>
        <v>924.99</v>
      </c>
      <c r="J250" s="12"/>
      <c r="L250" s="5">
        <v>289</v>
      </c>
      <c r="M250" s="5">
        <v>320</v>
      </c>
      <c r="N250" s="5">
        <v>316</v>
      </c>
      <c r="O250" s="28">
        <f t="shared" si="45"/>
        <v>308.33</v>
      </c>
      <c r="P250" s="28" t="e">
        <f>#REF!*O250</f>
        <v>#REF!</v>
      </c>
    </row>
    <row r="251" ht="80" customHeight="1" outlineLevel="1" spans="1:16">
      <c r="A251" s="12">
        <v>16</v>
      </c>
      <c r="B251" s="12" t="s">
        <v>45</v>
      </c>
      <c r="C251" s="39" t="str">
        <f>_xlfn.DISPIMG("ID_5A7BB4851CC043BEBDCE669CDC97F160",1)</f>
        <v>=DISPIMG("ID_5A7BB4851CC043BEBDCE669CDC97F160",1)</v>
      </c>
      <c r="D251" s="12" t="s">
        <v>46</v>
      </c>
      <c r="E251" s="12" t="s">
        <v>47</v>
      </c>
      <c r="F251" s="14" t="s">
        <v>16</v>
      </c>
      <c r="G251" s="15">
        <v>3</v>
      </c>
      <c r="H251" s="15">
        <f t="shared" si="48"/>
        <v>593</v>
      </c>
      <c r="I251" s="15">
        <f t="shared" si="47"/>
        <v>1779</v>
      </c>
      <c r="J251" s="12"/>
      <c r="L251" s="5">
        <v>550</v>
      </c>
      <c r="M251" s="5">
        <v>649</v>
      </c>
      <c r="N251" s="5">
        <v>580</v>
      </c>
      <c r="O251" s="28">
        <f t="shared" si="45"/>
        <v>593</v>
      </c>
      <c r="P251" s="28" t="e">
        <f>#REF!*O251</f>
        <v>#REF!</v>
      </c>
    </row>
    <row r="252" ht="80" customHeight="1" outlineLevel="1" spans="1:16">
      <c r="A252" s="12">
        <v>17</v>
      </c>
      <c r="B252" s="12" t="s">
        <v>49</v>
      </c>
      <c r="C252" s="12" t="str">
        <f>_xlfn.DISPIMG("ID_A2361A16A27D48719AB112E970E96318",1)</f>
        <v>=DISPIMG("ID_A2361A16A27D48719AB112E970E96318",1)</v>
      </c>
      <c r="D252" s="12" t="s">
        <v>50</v>
      </c>
      <c r="E252" s="12" t="s">
        <v>51</v>
      </c>
      <c r="F252" s="14" t="s">
        <v>16</v>
      </c>
      <c r="G252" s="15">
        <v>1</v>
      </c>
      <c r="H252" s="15">
        <f t="shared" si="48"/>
        <v>88</v>
      </c>
      <c r="I252" s="15">
        <f t="shared" si="47"/>
        <v>88</v>
      </c>
      <c r="J252" s="12"/>
      <c r="L252" s="5">
        <v>88</v>
      </c>
      <c r="M252" s="5">
        <v>90</v>
      </c>
      <c r="N252" s="5">
        <v>86</v>
      </c>
      <c r="O252" s="28">
        <f t="shared" si="45"/>
        <v>88</v>
      </c>
      <c r="P252" s="28" t="e">
        <f>#REF!*O252</f>
        <v>#REF!</v>
      </c>
    </row>
    <row r="253" ht="80" customHeight="1" outlineLevel="1" spans="1:16">
      <c r="A253" s="12">
        <v>18</v>
      </c>
      <c r="B253" s="12" t="s">
        <v>575</v>
      </c>
      <c r="C253" s="12" t="str">
        <f>_xlfn.DISPIMG("ID_7C45B6BD5A374500ACB49B0747A7051D",1)</f>
        <v>=DISPIMG("ID_7C45B6BD5A374500ACB49B0747A7051D",1)</v>
      </c>
      <c r="D253" s="12" t="s">
        <v>50</v>
      </c>
      <c r="E253" s="12" t="s">
        <v>576</v>
      </c>
      <c r="F253" s="14" t="s">
        <v>16</v>
      </c>
      <c r="G253" s="15">
        <v>1</v>
      </c>
      <c r="H253" s="15">
        <f t="shared" si="48"/>
        <v>330.67</v>
      </c>
      <c r="I253" s="15">
        <f t="shared" si="47"/>
        <v>330.67</v>
      </c>
      <c r="J253" s="12"/>
      <c r="L253" s="5">
        <v>334</v>
      </c>
      <c r="M253" s="5">
        <v>368</v>
      </c>
      <c r="N253" s="5">
        <v>290</v>
      </c>
      <c r="O253" s="28">
        <f t="shared" si="45"/>
        <v>330.67</v>
      </c>
      <c r="P253" s="28" t="e">
        <f>#REF!*O253</f>
        <v>#REF!</v>
      </c>
    </row>
    <row r="254" ht="80" customHeight="1" outlineLevel="1" spans="1:16">
      <c r="A254" s="12">
        <v>19</v>
      </c>
      <c r="B254" s="12" t="s">
        <v>52</v>
      </c>
      <c r="C254" s="39" t="str">
        <f>_xlfn.DISPIMG("ID_D78C664A51B64EDFA6C847991B6EC66E",1)</f>
        <v>=DISPIMG("ID_D78C664A51B64EDFA6C847991B6EC66E",1)</v>
      </c>
      <c r="D254" s="12" t="s">
        <v>23</v>
      </c>
      <c r="E254" s="12" t="s">
        <v>53</v>
      </c>
      <c r="F254" s="14" t="s">
        <v>16</v>
      </c>
      <c r="G254" s="15">
        <v>10</v>
      </c>
      <c r="H254" s="15">
        <f t="shared" si="48"/>
        <v>88.67</v>
      </c>
      <c r="I254" s="15">
        <f t="shared" si="47"/>
        <v>886.7</v>
      </c>
      <c r="J254" s="12"/>
      <c r="L254" s="5">
        <v>90</v>
      </c>
      <c r="M254" s="5">
        <v>78</v>
      </c>
      <c r="N254" s="5">
        <v>98</v>
      </c>
      <c r="O254" s="28">
        <f t="shared" si="45"/>
        <v>88.67</v>
      </c>
      <c r="P254" s="28" t="e">
        <f>#REF!*O254</f>
        <v>#REF!</v>
      </c>
    </row>
    <row r="255" ht="80" customHeight="1" outlineLevel="1" spans="1:16">
      <c r="A255" s="12">
        <v>20</v>
      </c>
      <c r="B255" s="12" t="s">
        <v>577</v>
      </c>
      <c r="C255" s="39" t="str">
        <f>_xlfn.DISPIMG("ID_A8ED3BB695D34938978FC8955245C244",1)</f>
        <v>=DISPIMG("ID_A8ED3BB695D34938978FC8955245C244",1)</v>
      </c>
      <c r="D255" s="12" t="s">
        <v>578</v>
      </c>
      <c r="E255" s="12" t="s">
        <v>38</v>
      </c>
      <c r="F255" s="14" t="s">
        <v>16</v>
      </c>
      <c r="G255" s="15">
        <v>1</v>
      </c>
      <c r="H255" s="15">
        <f t="shared" si="48"/>
        <v>101.67</v>
      </c>
      <c r="I255" s="15">
        <f t="shared" si="47"/>
        <v>101.67</v>
      </c>
      <c r="J255" s="12"/>
      <c r="L255" s="5">
        <v>100</v>
      </c>
      <c r="M255" s="5">
        <v>90</v>
      </c>
      <c r="N255" s="5">
        <v>115</v>
      </c>
      <c r="O255" s="28">
        <f t="shared" si="45"/>
        <v>101.67</v>
      </c>
      <c r="P255" s="28" t="e">
        <f>#REF!*O255</f>
        <v>#REF!</v>
      </c>
    </row>
    <row r="256" ht="80" customHeight="1" outlineLevel="1" spans="1:16">
      <c r="A256" s="12">
        <v>21</v>
      </c>
      <c r="B256" s="12" t="s">
        <v>579</v>
      </c>
      <c r="C256" s="39" t="str">
        <f>_xlfn.DISPIMG("ID_5FF8325A804446FAB6718C67535AA7E5",1)</f>
        <v>=DISPIMG("ID_5FF8325A804446FAB6718C67535AA7E5",1)</v>
      </c>
      <c r="D256" s="12" t="s">
        <v>29</v>
      </c>
      <c r="E256" s="12" t="s">
        <v>55</v>
      </c>
      <c r="F256" s="14" t="s">
        <v>56</v>
      </c>
      <c r="G256" s="15">
        <v>1</v>
      </c>
      <c r="H256" s="15">
        <f t="shared" si="48"/>
        <v>10.33</v>
      </c>
      <c r="I256" s="15">
        <f t="shared" si="47"/>
        <v>10.33</v>
      </c>
      <c r="J256" s="12"/>
      <c r="L256" s="5">
        <v>10</v>
      </c>
      <c r="M256" s="5">
        <v>12</v>
      </c>
      <c r="N256" s="5">
        <v>9</v>
      </c>
      <c r="O256" s="28">
        <f t="shared" si="45"/>
        <v>10.33</v>
      </c>
      <c r="P256" s="28" t="e">
        <f>#REF!*O256</f>
        <v>#REF!</v>
      </c>
    </row>
    <row r="257" ht="80" customHeight="1" outlineLevel="1" spans="1:16">
      <c r="A257" s="12">
        <v>22</v>
      </c>
      <c r="B257" s="12" t="s">
        <v>580</v>
      </c>
      <c r="C257" s="12" t="str">
        <f>_xlfn.DISPIMG("ID_1AD894C32C454B36A3E11154388194EE",1)</f>
        <v>=DISPIMG("ID_1AD894C32C454B36A3E11154388194EE",1)</v>
      </c>
      <c r="D257" s="12" t="s">
        <v>29</v>
      </c>
      <c r="E257" s="12" t="s">
        <v>581</v>
      </c>
      <c r="F257" s="14" t="s">
        <v>56</v>
      </c>
      <c r="G257" s="15">
        <v>1</v>
      </c>
      <c r="H257" s="15">
        <f t="shared" si="48"/>
        <v>8.67</v>
      </c>
      <c r="I257" s="15">
        <f t="shared" si="47"/>
        <v>8.67</v>
      </c>
      <c r="J257" s="12"/>
      <c r="L257" s="5">
        <v>10</v>
      </c>
      <c r="M257" s="5">
        <v>8</v>
      </c>
      <c r="N257" s="5">
        <v>8</v>
      </c>
      <c r="O257" s="28">
        <f t="shared" si="45"/>
        <v>8.67</v>
      </c>
      <c r="P257" s="28" t="e">
        <f>#REF!*O257</f>
        <v>#REF!</v>
      </c>
    </row>
    <row r="258" ht="80" customHeight="1" outlineLevel="1" spans="1:16">
      <c r="A258" s="12">
        <v>23</v>
      </c>
      <c r="B258" s="12" t="s">
        <v>582</v>
      </c>
      <c r="C258" s="12" t="str">
        <f>_xlfn.DISPIMG("ID_3ABDBEDB90E2481E8501540AF6FB0646",1)</f>
        <v>=DISPIMG("ID_3ABDBEDB90E2481E8501540AF6FB0646",1)</v>
      </c>
      <c r="D258" s="12" t="s">
        <v>583</v>
      </c>
      <c r="E258" s="12"/>
      <c r="F258" s="14" t="s">
        <v>20</v>
      </c>
      <c r="G258" s="15">
        <v>1</v>
      </c>
      <c r="H258" s="15">
        <f t="shared" si="48"/>
        <v>8.33</v>
      </c>
      <c r="I258" s="15">
        <f t="shared" si="47"/>
        <v>8.33</v>
      </c>
      <c r="J258" s="12"/>
      <c r="L258" s="5">
        <v>8</v>
      </c>
      <c r="M258" s="5">
        <v>8</v>
      </c>
      <c r="N258" s="5">
        <v>9</v>
      </c>
      <c r="O258" s="28">
        <f t="shared" si="45"/>
        <v>8.33</v>
      </c>
      <c r="P258" s="28" t="e">
        <f>#REF!*O258</f>
        <v>#REF!</v>
      </c>
    </row>
    <row r="259" ht="80" customHeight="1" outlineLevel="1" spans="1:16">
      <c r="A259" s="12">
        <v>24</v>
      </c>
      <c r="B259" s="12" t="s">
        <v>584</v>
      </c>
      <c r="C259" s="39"/>
      <c r="D259" s="12" t="s">
        <v>585</v>
      </c>
      <c r="E259" s="12" t="s">
        <v>586</v>
      </c>
      <c r="F259" s="14" t="s">
        <v>60</v>
      </c>
      <c r="G259" s="15">
        <v>1</v>
      </c>
      <c r="H259" s="15">
        <f t="shared" si="48"/>
        <v>12333.33</v>
      </c>
      <c r="I259" s="15">
        <f t="shared" si="47"/>
        <v>12333.33</v>
      </c>
      <c r="J259" s="12"/>
      <c r="L259" s="5">
        <v>16000</v>
      </c>
      <c r="M259" s="5">
        <v>12000</v>
      </c>
      <c r="N259" s="5">
        <v>9000</v>
      </c>
      <c r="O259" s="28">
        <f t="shared" si="45"/>
        <v>12333.33</v>
      </c>
      <c r="P259" s="28" t="e">
        <f>#REF!*O259</f>
        <v>#REF!</v>
      </c>
    </row>
    <row r="260" ht="80" customHeight="1" outlineLevel="1" spans="1:16">
      <c r="A260" s="12">
        <v>25</v>
      </c>
      <c r="B260" s="12" t="s">
        <v>57</v>
      </c>
      <c r="C260" s="39" t="str">
        <f>_xlfn.DISPIMG("ID_2A47061D548C4DA7BD83B9AC57B942B6",1)</f>
        <v>=DISPIMG("ID_2A47061D548C4DA7BD83B9AC57B942B6",1)</v>
      </c>
      <c r="D260" s="12" t="s">
        <v>58</v>
      </c>
      <c r="E260" s="12" t="s">
        <v>59</v>
      </c>
      <c r="F260" s="14" t="s">
        <v>60</v>
      </c>
      <c r="G260" s="15">
        <v>1</v>
      </c>
      <c r="H260" s="15">
        <f t="shared" si="48"/>
        <v>55</v>
      </c>
      <c r="I260" s="15">
        <f t="shared" si="47"/>
        <v>55</v>
      </c>
      <c r="J260" s="12"/>
      <c r="L260" s="5">
        <v>55</v>
      </c>
      <c r="M260" s="5">
        <v>70</v>
      </c>
      <c r="N260" s="5">
        <v>40</v>
      </c>
      <c r="O260" s="28">
        <f t="shared" si="45"/>
        <v>55</v>
      </c>
      <c r="P260" s="28" t="e">
        <f>#REF!*O260</f>
        <v>#REF!</v>
      </c>
    </row>
    <row r="261" ht="80" customHeight="1" outlineLevel="1" spans="1:16">
      <c r="A261" s="12">
        <v>26</v>
      </c>
      <c r="B261" s="12" t="s">
        <v>61</v>
      </c>
      <c r="C261" s="40" t="str">
        <f>_xlfn.DISPIMG("ID_88338D0B3C33474EB567919545FD5ECA",1)</f>
        <v>=DISPIMG("ID_88338D0B3C33474EB567919545FD5ECA",1)</v>
      </c>
      <c r="D261" s="12" t="s">
        <v>23</v>
      </c>
      <c r="E261" s="12" t="s">
        <v>53</v>
      </c>
      <c r="F261" s="14" t="s">
        <v>16</v>
      </c>
      <c r="G261" s="15">
        <v>1</v>
      </c>
      <c r="H261" s="15">
        <f t="shared" si="48"/>
        <v>88.67</v>
      </c>
      <c r="I261" s="15">
        <f t="shared" si="47"/>
        <v>88.67</v>
      </c>
      <c r="J261" s="12"/>
      <c r="L261" s="5">
        <v>90</v>
      </c>
      <c r="M261" s="5">
        <v>78</v>
      </c>
      <c r="N261" s="5">
        <v>98</v>
      </c>
      <c r="O261" s="28">
        <f t="shared" si="45"/>
        <v>88.67</v>
      </c>
      <c r="P261" s="28" t="e">
        <f>#REF!*O261</f>
        <v>#REF!</v>
      </c>
    </row>
    <row r="262" ht="80" customHeight="1" outlineLevel="1" spans="1:16">
      <c r="A262" s="12">
        <v>27</v>
      </c>
      <c r="B262" s="12" t="s">
        <v>587</v>
      </c>
      <c r="C262" s="12" t="str">
        <f>_xlfn.DISPIMG("ID_2BFABCB8BE0F42E4A1E9EC9559E522A8",1)</f>
        <v>=DISPIMG("ID_2BFABCB8BE0F42E4A1E9EC9559E522A8",1)</v>
      </c>
      <c r="D262" s="12" t="s">
        <v>588</v>
      </c>
      <c r="E262" s="12" t="s">
        <v>589</v>
      </c>
      <c r="F262" s="14" t="s">
        <v>544</v>
      </c>
      <c r="G262" s="15">
        <v>1</v>
      </c>
      <c r="H262" s="15">
        <f t="shared" si="48"/>
        <v>20.33</v>
      </c>
      <c r="I262" s="15">
        <f t="shared" si="47"/>
        <v>20.33</v>
      </c>
      <c r="J262" s="12"/>
      <c r="L262" s="5">
        <v>20</v>
      </c>
      <c r="M262" s="5">
        <v>19</v>
      </c>
      <c r="N262" s="5">
        <v>22</v>
      </c>
      <c r="O262" s="28">
        <f t="shared" si="45"/>
        <v>20.33</v>
      </c>
      <c r="P262" s="28" t="e">
        <f>#REF!*O262</f>
        <v>#REF!</v>
      </c>
    </row>
    <row r="263" ht="80" customHeight="1" outlineLevel="1" spans="1:16">
      <c r="A263" s="12">
        <v>28</v>
      </c>
      <c r="B263" s="12" t="s">
        <v>590</v>
      </c>
      <c r="C263" s="40" t="str">
        <f>_xlfn.DISPIMG("ID_035DA8E086144C04B29A7189685B3244",1)</f>
        <v>=DISPIMG("ID_035DA8E086144C04B29A7189685B3244",1)</v>
      </c>
      <c r="D263" s="12" t="s">
        <v>591</v>
      </c>
      <c r="E263" s="12" t="s">
        <v>592</v>
      </c>
      <c r="F263" s="14" t="s">
        <v>544</v>
      </c>
      <c r="G263" s="15">
        <v>1</v>
      </c>
      <c r="H263" s="15">
        <f t="shared" si="48"/>
        <v>17.33</v>
      </c>
      <c r="I263" s="15">
        <f t="shared" si="47"/>
        <v>17.33</v>
      </c>
      <c r="J263" s="12"/>
      <c r="L263" s="5">
        <v>18</v>
      </c>
      <c r="M263" s="5">
        <v>19</v>
      </c>
      <c r="N263" s="5">
        <v>15</v>
      </c>
      <c r="O263" s="28">
        <f t="shared" si="45"/>
        <v>17.33</v>
      </c>
      <c r="P263" s="28" t="e">
        <f>#REF!*O263</f>
        <v>#REF!</v>
      </c>
    </row>
    <row r="264" ht="80" customHeight="1" outlineLevel="1" spans="1:16">
      <c r="A264" s="12">
        <v>29</v>
      </c>
      <c r="B264" s="12" t="s">
        <v>62</v>
      </c>
      <c r="C264" s="39" t="str">
        <f>_xlfn.DISPIMG("ID_E6DD2E9C98534706BA2EE55C22C2ECB7",1)</f>
        <v>=DISPIMG("ID_E6DD2E9C98534706BA2EE55C22C2ECB7",1)</v>
      </c>
      <c r="D264" s="12" t="s">
        <v>23</v>
      </c>
      <c r="E264" s="12" t="s">
        <v>63</v>
      </c>
      <c r="F264" s="14" t="s">
        <v>64</v>
      </c>
      <c r="G264" s="15">
        <v>2</v>
      </c>
      <c r="H264" s="15">
        <f t="shared" si="48"/>
        <v>233</v>
      </c>
      <c r="I264" s="15">
        <f t="shared" si="47"/>
        <v>466</v>
      </c>
      <c r="J264" s="12"/>
      <c r="L264" s="5">
        <v>249</v>
      </c>
      <c r="M264" s="5">
        <v>230</v>
      </c>
      <c r="N264" s="5">
        <v>220</v>
      </c>
      <c r="O264" s="28">
        <f t="shared" si="45"/>
        <v>233</v>
      </c>
      <c r="P264" s="28" t="e">
        <f>#REF!*O264</f>
        <v>#REF!</v>
      </c>
    </row>
    <row r="265" ht="80" customHeight="1" outlineLevel="1" spans="1:16">
      <c r="A265" s="12">
        <v>30</v>
      </c>
      <c r="B265" s="12" t="s">
        <v>65</v>
      </c>
      <c r="C265" s="39"/>
      <c r="D265" s="12" t="s">
        <v>66</v>
      </c>
      <c r="E265" s="12" t="s">
        <v>67</v>
      </c>
      <c r="F265" s="14" t="s">
        <v>56</v>
      </c>
      <c r="G265" s="15">
        <v>2</v>
      </c>
      <c r="H265" s="15">
        <f t="shared" si="48"/>
        <v>20.33</v>
      </c>
      <c r="I265" s="15">
        <f t="shared" si="47"/>
        <v>40.66</v>
      </c>
      <c r="J265" s="12"/>
      <c r="L265" s="5">
        <v>20</v>
      </c>
      <c r="M265" s="5">
        <v>19</v>
      </c>
      <c r="N265" s="5">
        <v>22</v>
      </c>
      <c r="O265" s="28">
        <f t="shared" si="45"/>
        <v>20.33</v>
      </c>
      <c r="P265" s="28" t="e">
        <f>#REF!*O265</f>
        <v>#REF!</v>
      </c>
    </row>
    <row r="266" ht="80" customHeight="1" outlineLevel="1" spans="1:16">
      <c r="A266" s="12">
        <v>31</v>
      </c>
      <c r="B266" s="12" t="s">
        <v>68</v>
      </c>
      <c r="C266" s="39" t="str">
        <f>_xlfn.DISPIMG("ID_8D98838CCB7C44698F2D63DBC07E5E28",1)</f>
        <v>=DISPIMG("ID_8D98838CCB7C44698F2D63DBC07E5E28",1)</v>
      </c>
      <c r="D266" s="12" t="s">
        <v>69</v>
      </c>
      <c r="E266" s="12" t="s">
        <v>70</v>
      </c>
      <c r="F266" s="14" t="s">
        <v>16</v>
      </c>
      <c r="G266" s="15">
        <v>1</v>
      </c>
      <c r="H266" s="15">
        <f t="shared" si="48"/>
        <v>20.33</v>
      </c>
      <c r="I266" s="15">
        <f t="shared" si="47"/>
        <v>20.33</v>
      </c>
      <c r="J266" s="12"/>
      <c r="L266" s="5">
        <v>20</v>
      </c>
      <c r="M266" s="5">
        <v>19</v>
      </c>
      <c r="N266" s="5">
        <v>22</v>
      </c>
      <c r="O266" s="28">
        <f t="shared" si="45"/>
        <v>20.33</v>
      </c>
      <c r="P266" s="28" t="e">
        <f>#REF!*O266</f>
        <v>#REF!</v>
      </c>
    </row>
    <row r="267" ht="80" customHeight="1" outlineLevel="1" spans="1:16">
      <c r="A267" s="12">
        <v>32</v>
      </c>
      <c r="B267" s="12" t="s">
        <v>593</v>
      </c>
      <c r="C267" s="39" t="str">
        <f>_xlfn.DISPIMG("ID_D7A127F6580B4A80A2C230E6E7E2401A",1)</f>
        <v>=DISPIMG("ID_D7A127F6580B4A80A2C230E6E7E2401A",1)</v>
      </c>
      <c r="D267" s="12" t="s">
        <v>78</v>
      </c>
      <c r="E267" s="12" t="s">
        <v>53</v>
      </c>
      <c r="F267" s="14" t="s">
        <v>16</v>
      </c>
      <c r="G267" s="15">
        <v>1</v>
      </c>
      <c r="H267" s="15">
        <f t="shared" si="48"/>
        <v>96</v>
      </c>
      <c r="I267" s="15">
        <f t="shared" si="47"/>
        <v>96</v>
      </c>
      <c r="J267" s="12"/>
      <c r="L267" s="5">
        <v>88</v>
      </c>
      <c r="M267" s="5">
        <v>110</v>
      </c>
      <c r="N267" s="5">
        <v>90</v>
      </c>
      <c r="O267" s="28">
        <f t="shared" si="45"/>
        <v>96</v>
      </c>
      <c r="P267" s="28" t="e">
        <f>#REF!*O267</f>
        <v>#REF!</v>
      </c>
    </row>
    <row r="268" ht="80" customHeight="1" outlineLevel="1" spans="1:16">
      <c r="A268" s="12">
        <v>33</v>
      </c>
      <c r="B268" s="12" t="s">
        <v>594</v>
      </c>
      <c r="C268" s="39" t="str">
        <f>_xlfn.DISPIMG("ID_8AD157926BA843CA8B0F438C52FB7790",1)</f>
        <v>=DISPIMG("ID_8AD157926BA843CA8B0F438C52FB7790",1)</v>
      </c>
      <c r="D268" s="12" t="s">
        <v>595</v>
      </c>
      <c r="E268" s="12"/>
      <c r="F268" s="14" t="s">
        <v>20</v>
      </c>
      <c r="G268" s="15">
        <v>1</v>
      </c>
      <c r="H268" s="15">
        <f t="shared" si="48"/>
        <v>2.17</v>
      </c>
      <c r="I268" s="15">
        <f t="shared" si="47"/>
        <v>2.17</v>
      </c>
      <c r="J268" s="12"/>
      <c r="L268" s="5">
        <v>2.5</v>
      </c>
      <c r="M268" s="5">
        <v>2</v>
      </c>
      <c r="N268" s="5">
        <v>2</v>
      </c>
      <c r="O268" s="28">
        <f t="shared" si="45"/>
        <v>2.17</v>
      </c>
      <c r="P268" s="28" t="e">
        <f>#REF!*O268</f>
        <v>#REF!</v>
      </c>
    </row>
    <row r="269" ht="80" customHeight="1" outlineLevel="1" spans="1:16">
      <c r="A269" s="12">
        <v>34</v>
      </c>
      <c r="B269" s="12" t="s">
        <v>71</v>
      </c>
      <c r="C269" s="39" t="str">
        <f>_xlfn.DISPIMG("ID_97C7EBCB92974F8FBF4E948FF0D6E204",1)</f>
        <v>=DISPIMG("ID_97C7EBCB92974F8FBF4E948FF0D6E204",1)</v>
      </c>
      <c r="D269" s="12" t="s">
        <v>58</v>
      </c>
      <c r="E269" s="12" t="s">
        <v>72</v>
      </c>
      <c r="F269" s="14" t="s">
        <v>56</v>
      </c>
      <c r="G269" s="15">
        <v>4</v>
      </c>
      <c r="H269" s="15">
        <f t="shared" si="48"/>
        <v>30</v>
      </c>
      <c r="I269" s="15">
        <f t="shared" si="47"/>
        <v>120</v>
      </c>
      <c r="J269" s="12"/>
      <c r="L269" s="5">
        <v>30</v>
      </c>
      <c r="M269" s="5">
        <v>25</v>
      </c>
      <c r="N269" s="5">
        <v>35</v>
      </c>
      <c r="O269" s="28">
        <f t="shared" ref="O269:O276" si="49">ROUND((L269+M269+N269)/3,2)</f>
        <v>30</v>
      </c>
      <c r="P269" s="28" t="e">
        <f>#REF!*O269</f>
        <v>#REF!</v>
      </c>
    </row>
    <row r="270" ht="80" customHeight="1" outlineLevel="1" spans="1:16">
      <c r="A270" s="12">
        <v>35</v>
      </c>
      <c r="B270" s="12" t="s">
        <v>596</v>
      </c>
      <c r="C270" s="12"/>
      <c r="D270" s="12" t="s">
        <v>23</v>
      </c>
      <c r="E270" s="12" t="s">
        <v>38</v>
      </c>
      <c r="F270" s="14" t="s">
        <v>16</v>
      </c>
      <c r="G270" s="15">
        <v>3</v>
      </c>
      <c r="H270" s="15">
        <f t="shared" si="48"/>
        <v>46.33</v>
      </c>
      <c r="I270" s="15">
        <f t="shared" si="47"/>
        <v>138.99</v>
      </c>
      <c r="J270" s="12"/>
      <c r="L270" s="5">
        <v>52</v>
      </c>
      <c r="M270" s="5">
        <v>38</v>
      </c>
      <c r="N270" s="5">
        <v>49</v>
      </c>
      <c r="O270" s="28">
        <f t="shared" si="49"/>
        <v>46.33</v>
      </c>
      <c r="P270" s="28" t="e">
        <f>#REF!*O270</f>
        <v>#REF!</v>
      </c>
    </row>
    <row r="271" ht="80" customHeight="1" outlineLevel="1" spans="1:16">
      <c r="A271" s="12">
        <v>36</v>
      </c>
      <c r="B271" s="12" t="s">
        <v>73</v>
      </c>
      <c r="C271" s="12"/>
      <c r="D271" s="12" t="s">
        <v>74</v>
      </c>
      <c r="E271" s="12"/>
      <c r="F271" s="14" t="s">
        <v>56</v>
      </c>
      <c r="G271" s="15">
        <v>1</v>
      </c>
      <c r="H271" s="15">
        <f t="shared" si="48"/>
        <v>166</v>
      </c>
      <c r="I271" s="15">
        <f t="shared" si="47"/>
        <v>166</v>
      </c>
      <c r="J271" s="12"/>
      <c r="L271" s="5">
        <v>180</v>
      </c>
      <c r="M271" s="5">
        <v>158</v>
      </c>
      <c r="N271" s="5">
        <v>160</v>
      </c>
      <c r="O271" s="28">
        <f t="shared" si="49"/>
        <v>166</v>
      </c>
      <c r="P271" s="28" t="e">
        <f>#REF!*O271</f>
        <v>#REF!</v>
      </c>
    </row>
    <row r="272" ht="80" customHeight="1" outlineLevel="1" spans="1:16">
      <c r="A272" s="12">
        <v>37</v>
      </c>
      <c r="B272" s="12" t="s">
        <v>76</v>
      </c>
      <c r="C272" s="39" t="str">
        <f>_xlfn.DISPIMG("ID_B2AD3605551840B49D133A82291CEA14",1)</f>
        <v>=DISPIMG("ID_B2AD3605551840B49D133A82291CEA14",1)</v>
      </c>
      <c r="D272" s="12" t="s">
        <v>23</v>
      </c>
      <c r="E272" s="12" t="s">
        <v>53</v>
      </c>
      <c r="F272" s="14" t="s">
        <v>16</v>
      </c>
      <c r="G272" s="15">
        <v>1</v>
      </c>
      <c r="H272" s="15">
        <f t="shared" si="48"/>
        <v>92.67</v>
      </c>
      <c r="I272" s="15">
        <f t="shared" si="47"/>
        <v>92.67</v>
      </c>
      <c r="J272" s="12"/>
      <c r="L272" s="5">
        <v>88</v>
      </c>
      <c r="M272" s="5">
        <v>100</v>
      </c>
      <c r="N272" s="5">
        <v>90</v>
      </c>
      <c r="O272" s="28">
        <f t="shared" si="49"/>
        <v>92.67</v>
      </c>
      <c r="P272" s="28" t="e">
        <f>#REF!*O272</f>
        <v>#REF!</v>
      </c>
    </row>
    <row r="273" ht="80" customHeight="1" outlineLevel="1" spans="1:16">
      <c r="A273" s="12">
        <v>38</v>
      </c>
      <c r="B273" s="12" t="s">
        <v>77</v>
      </c>
      <c r="C273" s="39" t="str">
        <f>_xlfn.DISPIMG("ID_848CA32CA8824369903FFF2D852748FB",1)</f>
        <v>=DISPIMG("ID_848CA32CA8824369903FFF2D852748FB",1)</v>
      </c>
      <c r="D273" s="12" t="s">
        <v>78</v>
      </c>
      <c r="E273" s="12" t="s">
        <v>79</v>
      </c>
      <c r="F273" s="14" t="s">
        <v>16</v>
      </c>
      <c r="G273" s="15">
        <v>1</v>
      </c>
      <c r="H273" s="15">
        <f t="shared" si="48"/>
        <v>166</v>
      </c>
      <c r="I273" s="15">
        <f t="shared" si="47"/>
        <v>166</v>
      </c>
      <c r="J273" s="12"/>
      <c r="L273" s="5">
        <v>180</v>
      </c>
      <c r="M273" s="5">
        <v>158</v>
      </c>
      <c r="N273" s="5">
        <v>160</v>
      </c>
      <c r="O273" s="28">
        <f t="shared" si="49"/>
        <v>166</v>
      </c>
      <c r="P273" s="28" t="e">
        <f>#REF!*O273</f>
        <v>#REF!</v>
      </c>
    </row>
    <row r="274" ht="80" customHeight="1" outlineLevel="1" spans="1:16">
      <c r="A274" s="12">
        <v>39</v>
      </c>
      <c r="B274" s="12" t="s">
        <v>597</v>
      </c>
      <c r="C274" s="39" t="str">
        <f>_xlfn.DISPIMG("ID_227B2D7D0AE646D286A485A050219B6D",1)</f>
        <v>=DISPIMG("ID_227B2D7D0AE646D286A485A050219B6D",1)</v>
      </c>
      <c r="D274" s="12" t="s">
        <v>29</v>
      </c>
      <c r="E274" s="12" t="s">
        <v>598</v>
      </c>
      <c r="F274" s="14" t="s">
        <v>16</v>
      </c>
      <c r="G274" s="15">
        <v>2</v>
      </c>
      <c r="H274" s="15">
        <f t="shared" si="48"/>
        <v>30</v>
      </c>
      <c r="I274" s="15">
        <f t="shared" si="47"/>
        <v>60</v>
      </c>
      <c r="J274" s="12"/>
      <c r="L274" s="5">
        <v>30</v>
      </c>
      <c r="M274" s="5">
        <v>25</v>
      </c>
      <c r="N274" s="5">
        <v>35</v>
      </c>
      <c r="O274" s="28">
        <f t="shared" si="49"/>
        <v>30</v>
      </c>
      <c r="P274" s="28" t="e">
        <f>#REF!*O274</f>
        <v>#REF!</v>
      </c>
    </row>
    <row r="275" ht="80" customHeight="1" outlineLevel="1" spans="1:16">
      <c r="A275" s="12">
        <v>40</v>
      </c>
      <c r="B275" s="12" t="s">
        <v>81</v>
      </c>
      <c r="C275" s="39" t="str">
        <f>_xlfn.DISPIMG("ID_2CE962548BB1481EBA8AB0D37A5D8A2A",1)</f>
        <v>=DISPIMG("ID_2CE962548BB1481EBA8AB0D37A5D8A2A",1)</v>
      </c>
      <c r="D275" s="12" t="s">
        <v>82</v>
      </c>
      <c r="E275" s="12" t="s">
        <v>83</v>
      </c>
      <c r="F275" s="14" t="s">
        <v>56</v>
      </c>
      <c r="G275" s="15">
        <v>2</v>
      </c>
      <c r="H275" s="15">
        <f t="shared" si="48"/>
        <v>11907</v>
      </c>
      <c r="I275" s="15">
        <f t="shared" si="47"/>
        <v>23814</v>
      </c>
      <c r="J275" s="12"/>
      <c r="L275" s="5">
        <v>11500</v>
      </c>
      <c r="M275" s="5">
        <v>9990</v>
      </c>
      <c r="N275" s="5">
        <v>14231</v>
      </c>
      <c r="O275" s="28">
        <f t="shared" si="49"/>
        <v>11907</v>
      </c>
      <c r="P275" s="28" t="e">
        <f>#REF!*O275</f>
        <v>#REF!</v>
      </c>
    </row>
    <row r="276" ht="80" customHeight="1" outlineLevel="1" spans="1:16">
      <c r="A276" s="12">
        <v>41</v>
      </c>
      <c r="B276" s="12" t="s">
        <v>599</v>
      </c>
      <c r="C276" s="12"/>
      <c r="D276" s="12"/>
      <c r="E276" s="12"/>
      <c r="F276" s="14" t="s">
        <v>95</v>
      </c>
      <c r="G276" s="15">
        <v>1</v>
      </c>
      <c r="H276" s="43">
        <f t="shared" si="48"/>
        <v>8071.67</v>
      </c>
      <c r="I276" s="46">
        <f>H276*1</f>
        <v>8071.67</v>
      </c>
      <c r="J276" s="46"/>
      <c r="K276" s="47"/>
      <c r="L276" s="48">
        <v>8000</v>
      </c>
      <c r="M276" s="48">
        <v>8235</v>
      </c>
      <c r="N276" s="48">
        <v>7980</v>
      </c>
      <c r="O276" s="28">
        <f t="shared" si="49"/>
        <v>8071.67</v>
      </c>
      <c r="P276" s="28" t="e">
        <f>#REF!*O276</f>
        <v>#REF!</v>
      </c>
    </row>
    <row r="277" ht="80" customHeight="1" outlineLevel="1" spans="1:16">
      <c r="A277" s="12">
        <v>42</v>
      </c>
      <c r="B277" s="12" t="s">
        <v>85</v>
      </c>
      <c r="C277" s="12"/>
      <c r="D277" s="12"/>
      <c r="E277" s="12"/>
      <c r="F277" s="14" t="s">
        <v>88</v>
      </c>
      <c r="G277" s="15">
        <v>1</v>
      </c>
      <c r="H277" s="44"/>
      <c r="I277" s="49"/>
      <c r="J277" s="49"/>
      <c r="K277" s="47"/>
      <c r="L277" s="48"/>
      <c r="M277" s="48"/>
      <c r="N277" s="48"/>
      <c r="O277" s="28"/>
      <c r="P277" s="28" t="e">
        <f>#REF!*O277</f>
        <v>#REF!</v>
      </c>
    </row>
    <row r="278" ht="80" customHeight="1" outlineLevel="1" spans="1:16">
      <c r="A278" s="12">
        <v>43</v>
      </c>
      <c r="B278" s="12" t="s">
        <v>89</v>
      </c>
      <c r="C278" s="12"/>
      <c r="D278" s="12"/>
      <c r="E278" s="12" t="s">
        <v>91</v>
      </c>
      <c r="F278" s="14" t="s">
        <v>20</v>
      </c>
      <c r="G278" s="15">
        <v>1</v>
      </c>
      <c r="H278" s="44"/>
      <c r="I278" s="49"/>
      <c r="J278" s="49"/>
      <c r="K278" s="47"/>
      <c r="L278" s="48"/>
      <c r="M278" s="48"/>
      <c r="N278" s="48"/>
      <c r="O278" s="28"/>
      <c r="P278" s="28" t="e">
        <f>#REF!*O278</f>
        <v>#REF!</v>
      </c>
    </row>
    <row r="279" ht="80" customHeight="1" outlineLevel="1" spans="1:16">
      <c r="A279" s="12">
        <v>44</v>
      </c>
      <c r="B279" s="12" t="s">
        <v>600</v>
      </c>
      <c r="C279" s="12"/>
      <c r="D279" s="12"/>
      <c r="E279" s="12"/>
      <c r="F279" s="14" t="s">
        <v>16</v>
      </c>
      <c r="G279" s="15">
        <v>1</v>
      </c>
      <c r="H279" s="44"/>
      <c r="I279" s="49"/>
      <c r="J279" s="49"/>
      <c r="K279" s="47"/>
      <c r="L279" s="48"/>
      <c r="M279" s="48"/>
      <c r="N279" s="48"/>
      <c r="O279" s="28"/>
      <c r="P279" s="28" t="e">
        <f>#REF!*O279</f>
        <v>#REF!</v>
      </c>
    </row>
    <row r="280" ht="80" customHeight="1" outlineLevel="1" spans="1:16">
      <c r="A280" s="12">
        <v>45</v>
      </c>
      <c r="B280" s="12" t="s">
        <v>93</v>
      </c>
      <c r="C280" s="12"/>
      <c r="D280" s="12"/>
      <c r="E280" s="12"/>
      <c r="F280" s="14" t="s">
        <v>95</v>
      </c>
      <c r="G280" s="15">
        <v>1</v>
      </c>
      <c r="H280" s="45"/>
      <c r="I280" s="50"/>
      <c r="J280" s="50"/>
      <c r="K280" s="47"/>
      <c r="L280" s="48"/>
      <c r="M280" s="48"/>
      <c r="N280" s="48"/>
      <c r="O280" s="28"/>
      <c r="P280" s="28" t="e">
        <f>#REF!*O280</f>
        <v>#REF!</v>
      </c>
    </row>
    <row r="281" ht="80" customHeight="1" spans="1:1">
      <c r="A281" s="2" t="s">
        <v>96</v>
      </c>
    </row>
    <row r="282" ht="80" customHeight="1"/>
    <row r="283" ht="80" customHeight="1"/>
    <row r="284" ht="20" customHeight="1"/>
    <row r="285" ht="20" customHeight="1"/>
    <row r="286" ht="20" customHeight="1"/>
    <row r="287" ht="20" customHeight="1"/>
    <row r="288" ht="20" customHeight="1"/>
    <row r="289" ht="20" customHeight="1"/>
    <row r="290" ht="20" customHeight="1"/>
    <row r="291" ht="20" customHeight="1"/>
    <row r="292" ht="20" customHeight="1"/>
    <row r="293" ht="20" customHeight="1"/>
    <row r="294" ht="20" customHeight="1"/>
    <row r="295" ht="20" customHeight="1"/>
    <row r="296" ht="20" customHeight="1"/>
    <row r="297" ht="20" customHeight="1"/>
    <row r="298" ht="20" customHeight="1"/>
    <row r="299" ht="20" customHeight="1"/>
    <row r="300" ht="20" customHeight="1"/>
    <row r="301" ht="20" customHeight="1"/>
    <row r="302" ht="20" customHeight="1"/>
    <row r="303" ht="20" customHeight="1"/>
    <row r="304" ht="20" customHeight="1"/>
    <row r="305" ht="20" customHeight="1"/>
    <row r="306" ht="20" customHeight="1"/>
    <row r="307" ht="20" customHeight="1"/>
    <row r="308" ht="20" customHeight="1"/>
    <row r="309" ht="20" customHeight="1"/>
    <row r="310" ht="20" customHeight="1"/>
    <row r="311" ht="20" customHeight="1"/>
    <row r="312" ht="20" customHeight="1"/>
    <row r="313" ht="20" customHeight="1"/>
    <row r="314" ht="20" customHeight="1"/>
    <row r="315" ht="20" customHeight="1"/>
    <row r="316" ht="20" customHeight="1"/>
    <row r="317" ht="20" customHeight="1"/>
    <row r="318" ht="20" customHeight="1"/>
    <row r="319" ht="20" customHeight="1"/>
    <row r="320" ht="20" customHeight="1"/>
    <row r="321" ht="20" customHeight="1"/>
    <row r="322" ht="20" customHeight="1"/>
    <row r="323" ht="20" customHeight="1"/>
    <row r="324" ht="20" customHeight="1"/>
    <row r="325" ht="20" customHeight="1"/>
    <row r="326" ht="20" customHeight="1"/>
    <row r="327" ht="20" customHeight="1"/>
    <row r="328" ht="20" customHeight="1"/>
    <row r="329" ht="20" customHeight="1"/>
    <row r="330" ht="20" customHeight="1"/>
    <row r="331" ht="20" customHeight="1"/>
    <row r="332" ht="20" customHeight="1"/>
    <row r="333" ht="20" customHeight="1"/>
    <row r="334" ht="20" customHeight="1"/>
    <row r="335" ht="20" customHeight="1"/>
    <row r="336" ht="20" customHeight="1"/>
    <row r="337" ht="20" customHeight="1"/>
    <row r="338" ht="20" customHeight="1"/>
    <row r="339" ht="20" customHeight="1"/>
    <row r="340" ht="20" customHeight="1"/>
    <row r="341" ht="20" customHeight="1"/>
    <row r="342" ht="20" customHeight="1"/>
    <row r="343" ht="20" customHeight="1"/>
    <row r="344" ht="20" customHeight="1"/>
    <row r="345" ht="20" customHeight="1"/>
    <row r="346" ht="20" customHeight="1"/>
    <row r="347" ht="20" customHeight="1"/>
    <row r="348" ht="20" customHeight="1"/>
    <row r="349" ht="20" customHeight="1"/>
    <row r="350" ht="20" customHeight="1"/>
    <row r="351" ht="20" customHeight="1"/>
    <row r="352" ht="20" customHeight="1"/>
    <row r="353" ht="20" customHeight="1"/>
    <row r="354" ht="20" customHeight="1"/>
    <row r="355" ht="20" customHeight="1"/>
    <row r="356" ht="20" customHeight="1"/>
    <row r="357" ht="20" customHeight="1"/>
    <row r="358" ht="20" customHeight="1"/>
    <row r="359" ht="20" customHeight="1"/>
    <row r="360" ht="20" customHeight="1"/>
    <row r="361" ht="20" customHeight="1"/>
    <row r="362" ht="20" customHeight="1"/>
    <row r="363" ht="20" customHeight="1"/>
    <row r="364" ht="20" customHeight="1"/>
    <row r="365" ht="20" customHeight="1"/>
    <row r="366" ht="20" customHeight="1"/>
  </sheetData>
  <autoFilter xmlns:etc="http://www.wps.cn/officeDocument/2017/etCustomData" ref="A1:L281" etc:filterBottomFollowUsedRange="0">
    <extLst/>
  </autoFilter>
  <mergeCells count="23">
    <mergeCell ref="A1:J1"/>
    <mergeCell ref="A3:E3"/>
    <mergeCell ref="B4:E4"/>
    <mergeCell ref="B59:E59"/>
    <mergeCell ref="B63:E63"/>
    <mergeCell ref="B127:E127"/>
    <mergeCell ref="B135:E135"/>
    <mergeCell ref="B140:E140"/>
    <mergeCell ref="B165:E165"/>
    <mergeCell ref="B192:E192"/>
    <mergeCell ref="B200:E200"/>
    <mergeCell ref="B204:E204"/>
    <mergeCell ref="B228:E228"/>
    <mergeCell ref="B232:E232"/>
    <mergeCell ref="B235:E235"/>
    <mergeCell ref="A281:J281"/>
    <mergeCell ref="C264:C265"/>
    <mergeCell ref="H276:H280"/>
    <mergeCell ref="I276:I280"/>
    <mergeCell ref="J276:J280"/>
    <mergeCell ref="L276:L280"/>
    <mergeCell ref="M276:M280"/>
    <mergeCell ref="N276:N280"/>
  </mergeCells>
  <pageMargins left="0.7" right="0.393055555555556" top="0.75" bottom="0.75" header="0.3" footer="0.3"/>
  <pageSetup paperSize="9" scale="74" orientation="landscape"/>
  <headerFooter/>
  <colBreaks count="1" manualBreakCount="1">
    <brk id="10" max="1048575"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文化建设</vt:lpstr>
      <vt:lpstr>清单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天空</cp:lastModifiedBy>
  <dcterms:created xsi:type="dcterms:W3CDTF">2022-04-22T05:05:00Z</dcterms:created>
  <dcterms:modified xsi:type="dcterms:W3CDTF">2025-06-23T01:49:44Z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609C931101D1459C8ACAB6AEEAC3B292_13</vt:lpwstr>
  </property>
  <property fmtid="{D5CDD505-2E9C-101B-9397-08002B2CF9AE}" pid="3" name="commondata">
    <vt:lpwstr>eyJoZGlkIjoiNDUzMjQ5ZGEwYWM3NTc2NjdmMzNlZGIyMTdiMmVkZDYifQ==</vt:lpwstr>
  </property>
  <property fmtid="{D5CDD505-2E9C-101B-9397-08002B2CF9AE}" pid="4" name="KSOProductBuildVer">
    <vt:lpwstr>2052-12.1.0.21541</vt:lpwstr>
  </property>
</Properties>
</file>